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24775BB5-9023-874C-8101-E362770BEAEE}" xr6:coauthVersionLast="47" xr6:coauthVersionMax="47" xr10:uidLastSave="{00000000-0000-0000-0000-000000000000}"/>
  <bookViews>
    <workbookView xWindow="0" yWindow="500" windowWidth="51200" windowHeight="29660" activeTab="12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Lecture 10 New" sheetId="23" r:id="rId12"/>
    <sheet name="Lecture 11 New" sheetId="24" r:id="rId13"/>
    <sheet name="בהמשך" sheetId="5" r:id="rId14"/>
    <sheet name="Lecture 5" sheetId="7" r:id="rId15"/>
    <sheet name="Lecture 8" sheetId="9" r:id="rId16"/>
    <sheet name="Lecture 9" sheetId="10" r:id="rId17"/>
    <sheet name="Lectures 10" sheetId="15" r:id="rId18"/>
    <sheet name="Lectures 11, 12" sheetId="17" r:id="rId19"/>
    <sheet name="Lecture 13" sheetId="18" r:id="rId20"/>
  </sheets>
  <definedNames>
    <definedName name="_xlnm.Print_Area" localSheetId="2">'Lecture 1'!$A$1:$I$254</definedName>
    <definedName name="_xlnm.Print_Area" localSheetId="19">'Lecture 13'!$A$1:$H$334</definedName>
    <definedName name="_xlnm.Print_Area" localSheetId="3">'Lecture 2'!$A$1:$I$148</definedName>
    <definedName name="_xlnm.Print_Area" localSheetId="5">'Lecture 4'!$A$1:$H$307</definedName>
    <definedName name="_xlnm.Print_Area" localSheetId="14">'Lecture 5'!$A$1:$I$172</definedName>
    <definedName name="_xlnm.Print_Area" localSheetId="8">'Lecture 7 New'!$A$1:$I$241</definedName>
    <definedName name="_xlnm.Print_Area" localSheetId="9">'Lecture 8 New'!$A$1:$I$670</definedName>
    <definedName name="_xlnm.Print_Area" localSheetId="17">'Lectures 10'!$A$1:$H$107</definedName>
    <definedName name="_xlnm.Print_Area" localSheetId="18">'Lectures 11, 12'!$A$1:$H$384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6" i="24" l="1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F125" i="5"/>
  <c r="G123" i="5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60" i="18"/>
  <c r="C160" i="18" s="1"/>
  <c r="C159" i="18"/>
  <c r="F177" i="9"/>
  <c r="B159" i="18"/>
  <c r="A96" i="18"/>
  <c r="A50" i="18"/>
  <c r="A51" i="18" s="1"/>
  <c r="C49" i="18"/>
  <c r="B49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9" i="18"/>
  <c r="D159" i="18"/>
  <c r="B160" i="18"/>
  <c r="D160" i="18" s="1"/>
  <c r="A161" i="18"/>
  <c r="C161" i="18" s="1"/>
  <c r="C51" i="18"/>
  <c r="B51" i="18"/>
  <c r="A52" i="18"/>
  <c r="B50" i="18"/>
  <c r="C50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62" i="18"/>
  <c r="C162" i="18" s="1"/>
  <c r="B161" i="18"/>
  <c r="D161" i="18" s="1"/>
  <c r="D51" i="18"/>
  <c r="A53" i="18"/>
  <c r="A54" i="18" s="1"/>
  <c r="C52" i="18"/>
  <c r="B52" i="18"/>
  <c r="D50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3" i="18"/>
  <c r="C163" i="18" s="1"/>
  <c r="B162" i="18"/>
  <c r="D162" i="18" s="1"/>
  <c r="D52" i="18"/>
  <c r="C53" i="18"/>
  <c r="B53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3" i="18"/>
  <c r="A164" i="18"/>
  <c r="C164" i="18" s="1"/>
  <c r="B163" i="18"/>
  <c r="D163" i="18" s="1"/>
  <c r="A55" i="18"/>
  <c r="C54" i="18"/>
  <c r="B54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5" i="18"/>
  <c r="C165" i="18" s="1"/>
  <c r="B164" i="18"/>
  <c r="D164" i="18" s="1"/>
  <c r="D54" i="18"/>
  <c r="C55" i="18"/>
  <c r="B55" i="18"/>
  <c r="A56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5" i="18"/>
  <c r="A166" i="18"/>
  <c r="C166" i="18" s="1"/>
  <c r="B165" i="18"/>
  <c r="D165" i="18" s="1"/>
  <c r="A57" i="18"/>
  <c r="C56" i="18"/>
  <c r="B56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6" i="18"/>
  <c r="A167" i="18"/>
  <c r="C167" i="18" s="1"/>
  <c r="B166" i="18"/>
  <c r="D166" i="18" s="1"/>
  <c r="C57" i="18"/>
  <c r="B57" i="18"/>
  <c r="A58" i="18"/>
  <c r="D412" i="17"/>
  <c r="D413" i="17" s="1"/>
  <c r="C331" i="17"/>
  <c r="B331" i="17"/>
  <c r="A332" i="17"/>
  <c r="B332" i="17" s="1"/>
  <c r="C283" i="17"/>
  <c r="C284" i="17" s="1"/>
  <c r="C281" i="17"/>
  <c r="C247" i="17"/>
  <c r="C248" i="17" s="1"/>
  <c r="C249" i="17" s="1"/>
  <c r="C250" i="17" s="1"/>
  <c r="C251" i="17" s="1"/>
  <c r="C252" i="17" s="1"/>
  <c r="C253" i="17" s="1"/>
  <c r="C254" i="17" s="1"/>
  <c r="C255" i="17" s="1"/>
  <c r="B247" i="17"/>
  <c r="A248" i="17"/>
  <c r="A249" i="17" s="1"/>
  <c r="A250" i="17" s="1"/>
  <c r="A251" i="17" s="1"/>
  <c r="A252" i="17" s="1"/>
  <c r="A253" i="17" s="1"/>
  <c r="A254" i="17" s="1"/>
  <c r="A255" i="17" s="1"/>
  <c r="B255" i="17" s="1"/>
  <c r="D195" i="17"/>
  <c r="D193" i="17"/>
  <c r="D129" i="17"/>
  <c r="D128" i="17"/>
  <c r="E75" i="24" l="1"/>
  <c r="A49" i="23"/>
  <c r="C48" i="23"/>
  <c r="B48" i="23"/>
  <c r="D228" i="19"/>
  <c r="C228" i="19"/>
  <c r="A229" i="19"/>
  <c r="D57" i="18"/>
  <c r="A168" i="18"/>
  <c r="C168" i="18" s="1"/>
  <c r="B167" i="18"/>
  <c r="D167" i="18" s="1"/>
  <c r="A59" i="18"/>
  <c r="C58" i="18"/>
  <c r="B58" i="18"/>
  <c r="A333" i="17"/>
  <c r="D247" i="17"/>
  <c r="D331" i="17"/>
  <c r="C332" i="17"/>
  <c r="D332" i="17" s="1"/>
  <c r="C286" i="17"/>
  <c r="D255" i="17"/>
  <c r="B248" i="17"/>
  <c r="A256" i="17"/>
  <c r="E326" i="18"/>
  <c r="E327" i="18" s="1"/>
  <c r="E322" i="18"/>
  <c r="E321" i="18"/>
  <c r="J264" i="18"/>
  <c r="D250" i="18"/>
  <c r="D249" i="18"/>
  <c r="H321" i="18"/>
  <c r="H326" i="18"/>
  <c r="D48" i="23" l="1"/>
  <c r="A50" i="23"/>
  <c r="B49" i="23"/>
  <c r="C49" i="23"/>
  <c r="A230" i="19"/>
  <c r="C229" i="19"/>
  <c r="D229" i="19"/>
  <c r="D58" i="18"/>
  <c r="A169" i="18"/>
  <c r="C169" i="18" s="1"/>
  <c r="B168" i="18"/>
  <c r="D168" i="18" s="1"/>
  <c r="C59" i="18"/>
  <c r="B59" i="18"/>
  <c r="A334" i="17"/>
  <c r="B333" i="17"/>
  <c r="C333" i="17"/>
  <c r="D248" i="17"/>
  <c r="B249" i="17"/>
  <c r="A257" i="17"/>
  <c r="B256" i="17"/>
  <c r="C256" i="17"/>
  <c r="D251" i="18"/>
  <c r="E323" i="18"/>
  <c r="D49" i="23" l="1"/>
  <c r="A51" i="23"/>
  <c r="B50" i="23"/>
  <c r="C50" i="23"/>
  <c r="A231" i="19"/>
  <c r="D230" i="19"/>
  <c r="C230" i="19"/>
  <c r="D59" i="18"/>
  <c r="A170" i="18"/>
  <c r="C170" i="18" s="1"/>
  <c r="B169" i="18"/>
  <c r="D169" i="18" s="1"/>
  <c r="D333" i="17"/>
  <c r="A335" i="17"/>
  <c r="B334" i="17"/>
  <c r="C334" i="17"/>
  <c r="B250" i="17"/>
  <c r="D249" i="17"/>
  <c r="D256" i="17"/>
  <c r="A258" i="17"/>
  <c r="C257" i="17"/>
  <c r="B257" i="17"/>
  <c r="D257" i="17" s="1"/>
  <c r="C123" i="15"/>
  <c r="A83" i="15"/>
  <c r="D50" i="23" l="1"/>
  <c r="A52" i="23"/>
  <c r="B51" i="23"/>
  <c r="C51" i="23"/>
  <c r="A232" i="19"/>
  <c r="C231" i="19"/>
  <c r="D231" i="19"/>
  <c r="B170" i="18"/>
  <c r="D170" i="18" s="1"/>
  <c r="D334" i="17"/>
  <c r="A336" i="17"/>
  <c r="B335" i="17"/>
  <c r="C335" i="17"/>
  <c r="B251" i="17"/>
  <c r="D250" i="17"/>
  <c r="A259" i="17"/>
  <c r="B258" i="17"/>
  <c r="C258" i="17"/>
  <c r="E80" i="15"/>
  <c r="E81" i="15"/>
  <c r="D76" i="15"/>
  <c r="C76" i="15"/>
  <c r="A77" i="15"/>
  <c r="A78" i="15" s="1"/>
  <c r="A79" i="15" s="1"/>
  <c r="A80" i="15" s="1"/>
  <c r="A81" i="15" s="1"/>
  <c r="A82" i="15" s="1"/>
  <c r="K93" i="10"/>
  <c r="K81" i="10"/>
  <c r="D69" i="10"/>
  <c r="C68" i="10"/>
  <c r="C67" i="10"/>
  <c r="D61" i="10"/>
  <c r="D62" i="10" s="1"/>
  <c r="B63" i="10"/>
  <c r="B64" i="10" s="1"/>
  <c r="B65" i="10" s="1"/>
  <c r="B66" i="10" s="1"/>
  <c r="B67" i="10" s="1"/>
  <c r="B68" i="10" s="1"/>
  <c r="B69" i="10" s="1"/>
  <c r="D87" i="9"/>
  <c r="D88" i="9"/>
  <c r="D89" i="9"/>
  <c r="D90" i="9"/>
  <c r="D91" i="9"/>
  <c r="D92" i="9"/>
  <c r="D93" i="9"/>
  <c r="D94" i="9"/>
  <c r="D95" i="9"/>
  <c r="D96" i="9"/>
  <c r="D97" i="9"/>
  <c r="D86" i="9"/>
  <c r="C86" i="9"/>
  <c r="C91" i="9"/>
  <c r="C92" i="9"/>
  <c r="C93" i="9"/>
  <c r="C94" i="9"/>
  <c r="C95" i="9"/>
  <c r="C96" i="9"/>
  <c r="C97" i="9"/>
  <c r="C90" i="9"/>
  <c r="C89" i="9"/>
  <c r="B86" i="9"/>
  <c r="B95" i="9"/>
  <c r="B96" i="9"/>
  <c r="B97" i="9"/>
  <c r="B94" i="9"/>
  <c r="L47" i="9"/>
  <c r="C38" i="9"/>
  <c r="C43" i="9"/>
  <c r="C44" i="9"/>
  <c r="C45" i="9" s="1"/>
  <c r="C46" i="9" s="1"/>
  <c r="C47" i="9" s="1"/>
  <c r="C48" i="9" s="1"/>
  <c r="C49" i="9" s="1"/>
  <c r="B38" i="9"/>
  <c r="B48" i="9"/>
  <c r="D48" i="9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35" i="17"/>
  <c r="A337" i="17"/>
  <c r="A338" i="17" s="1"/>
  <c r="C336" i="17"/>
  <c r="B336" i="17"/>
  <c r="D336" i="17" s="1"/>
  <c r="B252" i="17"/>
  <c r="D251" i="17"/>
  <c r="D258" i="17"/>
  <c r="A260" i="17"/>
  <c r="B259" i="17"/>
  <c r="C259" i="17"/>
  <c r="E76" i="15"/>
  <c r="C78" i="15"/>
  <c r="C77" i="15"/>
  <c r="D77" i="15"/>
  <c r="D78" i="15"/>
  <c r="C79" i="15"/>
  <c r="E79" i="15" s="1"/>
  <c r="B82" i="15"/>
  <c r="E82" i="15" s="1"/>
  <c r="B70" i="10"/>
  <c r="C69" i="10"/>
  <c r="E69" i="10" s="1"/>
  <c r="E62" i="10"/>
  <c r="D63" i="10"/>
  <c r="E61" i="10"/>
  <c r="C50" i="9"/>
  <c r="D49" i="9"/>
  <c r="D38" i="9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37" i="17"/>
  <c r="B337" i="17"/>
  <c r="D259" i="17"/>
  <c r="B253" i="17"/>
  <c r="D252" i="17"/>
  <c r="A261" i="17"/>
  <c r="B260" i="17"/>
  <c r="C260" i="17"/>
  <c r="E78" i="15"/>
  <c r="A84" i="15"/>
  <c r="B83" i="15"/>
  <c r="E83" i="15" s="1"/>
  <c r="E77" i="15"/>
  <c r="D64" i="10"/>
  <c r="E63" i="10"/>
  <c r="B71" i="10"/>
  <c r="D70" i="10"/>
  <c r="C70" i="10"/>
  <c r="C51" i="9"/>
  <c r="D50" i="9"/>
  <c r="A166" i="16"/>
  <c r="D165" i="16"/>
  <c r="C165" i="16"/>
  <c r="B165" i="16"/>
  <c r="E165" i="16" s="1"/>
  <c r="D201" i="7"/>
  <c r="D202" i="7"/>
  <c r="D203" i="7"/>
  <c r="D204" i="7"/>
  <c r="D205" i="7"/>
  <c r="D206" i="7"/>
  <c r="D207" i="7"/>
  <c r="D208" i="7"/>
  <c r="D209" i="7"/>
  <c r="D210" i="7"/>
  <c r="D200" i="7"/>
  <c r="C203" i="7"/>
  <c r="C202" i="7"/>
  <c r="C201" i="7"/>
  <c r="C200" i="7"/>
  <c r="B210" i="7"/>
  <c r="B209" i="7"/>
  <c r="B208" i="7"/>
  <c r="B207" i="7"/>
  <c r="B206" i="7"/>
  <c r="B205" i="7"/>
  <c r="A202" i="7"/>
  <c r="A203" i="7" s="1"/>
  <c r="A204" i="7" s="1"/>
  <c r="A205" i="7" s="1"/>
  <c r="A206" i="7" s="1"/>
  <c r="A207" i="7" s="1"/>
  <c r="A208" i="7" s="1"/>
  <c r="A209" i="7" s="1"/>
  <c r="A210" i="7" s="1"/>
  <c r="A201" i="7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A136" i="7"/>
  <c r="A137" i="7" s="1"/>
  <c r="A138" i="7" s="1"/>
  <c r="A139" i="7" s="1"/>
  <c r="A140" i="7" s="1"/>
  <c r="A141" i="7" s="1"/>
  <c r="A142" i="7" s="1"/>
  <c r="A143" i="7" s="1"/>
  <c r="A144" i="7" s="1"/>
  <c r="A145" i="7" s="1"/>
  <c r="C136" i="7"/>
  <c r="E136" i="7" s="1"/>
  <c r="E138" i="7"/>
  <c r="E139" i="7"/>
  <c r="E140" i="7"/>
  <c r="E141" i="7"/>
  <c r="E142" i="7"/>
  <c r="E143" i="7"/>
  <c r="E144" i="7"/>
  <c r="E145" i="7"/>
  <c r="C137" i="7"/>
  <c r="E137" i="7" s="1"/>
  <c r="C135" i="7"/>
  <c r="E135" i="7" s="1"/>
  <c r="D136" i="7"/>
  <c r="D137" i="7"/>
  <c r="D138" i="7"/>
  <c r="D139" i="7"/>
  <c r="D140" i="7"/>
  <c r="D141" i="7"/>
  <c r="F141" i="7" s="1"/>
  <c r="D142" i="7"/>
  <c r="D143" i="7"/>
  <c r="D144" i="7"/>
  <c r="D145" i="7"/>
  <c r="D135" i="7"/>
  <c r="F73" i="7"/>
  <c r="F72" i="7"/>
  <c r="F71" i="7"/>
  <c r="E76" i="7"/>
  <c r="E77" i="7"/>
  <c r="E78" i="7"/>
  <c r="E79" i="7"/>
  <c r="E80" i="7"/>
  <c r="E81" i="7"/>
  <c r="E73" i="7"/>
  <c r="E72" i="7"/>
  <c r="E71" i="7"/>
  <c r="C71" i="7"/>
  <c r="C72" i="7"/>
  <c r="C73" i="7"/>
  <c r="C74" i="7"/>
  <c r="E74" i="7" s="1"/>
  <c r="C75" i="7"/>
  <c r="E75" i="7" s="1"/>
  <c r="D72" i="7"/>
  <c r="D73" i="7"/>
  <c r="D74" i="7"/>
  <c r="D75" i="7"/>
  <c r="D76" i="7"/>
  <c r="D71" i="7"/>
  <c r="B81" i="7"/>
  <c r="D81" i="7" s="1"/>
  <c r="B80" i="7"/>
  <c r="D80" i="7" s="1"/>
  <c r="B79" i="7"/>
  <c r="D79" i="7" s="1"/>
  <c r="B78" i="7"/>
  <c r="D78" i="7" s="1"/>
  <c r="B77" i="7"/>
  <c r="D77" i="7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C323" i="5"/>
  <c r="C322" i="5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B542" i="7"/>
  <c r="D542" i="7" s="1"/>
  <c r="B541" i="7"/>
  <c r="D541" i="7" s="1"/>
  <c r="B540" i="7"/>
  <c r="D540" i="7" s="1"/>
  <c r="B539" i="7"/>
  <c r="D539" i="7" s="1"/>
  <c r="B538" i="7"/>
  <c r="D538" i="7" s="1"/>
  <c r="B537" i="7"/>
  <c r="D537" i="7" s="1"/>
  <c r="B536" i="7"/>
  <c r="D536" i="7" s="1"/>
  <c r="B535" i="7"/>
  <c r="D535" i="7" s="1"/>
  <c r="D534" i="7"/>
  <c r="C533" i="7"/>
  <c r="D533" i="7" s="1"/>
  <c r="C532" i="7"/>
  <c r="D532" i="7" s="1"/>
  <c r="C531" i="7"/>
  <c r="D531" i="7" s="1"/>
  <c r="C530" i="7"/>
  <c r="D530" i="7" s="1"/>
  <c r="C529" i="7"/>
  <c r="D529" i="7" s="1"/>
  <c r="C528" i="7"/>
  <c r="D528" i="7" s="1"/>
  <c r="A528" i="7"/>
  <c r="A529" i="7" s="1"/>
  <c r="A530" i="7" s="1"/>
  <c r="A531" i="7" s="1"/>
  <c r="A532" i="7" s="1"/>
  <c r="A533" i="7" s="1"/>
  <c r="A534" i="7" s="1"/>
  <c r="A535" i="7" s="1"/>
  <c r="A536" i="7" s="1"/>
  <c r="A537" i="7" s="1"/>
  <c r="A538" i="7" s="1"/>
  <c r="A539" i="7" s="1"/>
  <c r="A540" i="7" s="1"/>
  <c r="A541" i="7" s="1"/>
  <c r="A542" i="7" s="1"/>
  <c r="C527" i="7"/>
  <c r="D527" i="7" s="1"/>
  <c r="C483" i="7"/>
  <c r="B483" i="7"/>
  <c r="C482" i="7"/>
  <c r="B482" i="7"/>
  <c r="C481" i="7"/>
  <c r="B481" i="7"/>
  <c r="C480" i="7"/>
  <c r="B480" i="7"/>
  <c r="C479" i="7"/>
  <c r="B479" i="7"/>
  <c r="C478" i="7"/>
  <c r="C477" i="7"/>
  <c r="C476" i="7"/>
  <c r="C475" i="7"/>
  <c r="C474" i="7"/>
  <c r="A474" i="7"/>
  <c r="A475" i="7" s="1"/>
  <c r="A476" i="7" s="1"/>
  <c r="A477" i="7" s="1"/>
  <c r="A478" i="7" s="1"/>
  <c r="A479" i="7" s="1"/>
  <c r="A480" i="7" s="1"/>
  <c r="A481" i="7" s="1"/>
  <c r="A482" i="7" s="1"/>
  <c r="A483" i="7" s="1"/>
  <c r="C473" i="7"/>
  <c r="E445" i="7"/>
  <c r="C445" i="7"/>
  <c r="B445" i="7"/>
  <c r="E444" i="7"/>
  <c r="C444" i="7"/>
  <c r="B444" i="7"/>
  <c r="E443" i="7"/>
  <c r="C443" i="7"/>
  <c r="B443" i="7"/>
  <c r="E442" i="7"/>
  <c r="C442" i="7"/>
  <c r="B442" i="7"/>
  <c r="E441" i="7"/>
  <c r="C441" i="7"/>
  <c r="B441" i="7"/>
  <c r="E440" i="7"/>
  <c r="D440" i="7"/>
  <c r="C440" i="7"/>
  <c r="B440" i="7"/>
  <c r="E439" i="7"/>
  <c r="D439" i="7"/>
  <c r="C439" i="7"/>
  <c r="E438" i="7"/>
  <c r="D438" i="7"/>
  <c r="C438" i="7"/>
  <c r="E437" i="7"/>
  <c r="D437" i="7"/>
  <c r="C437" i="7"/>
  <c r="E436" i="7"/>
  <c r="D436" i="7"/>
  <c r="C436" i="7"/>
  <c r="A436" i="7"/>
  <c r="A437" i="7" s="1"/>
  <c r="A438" i="7" s="1"/>
  <c r="A439" i="7" s="1"/>
  <c r="A440" i="7" s="1"/>
  <c r="A441" i="7" s="1"/>
  <c r="A442" i="7" s="1"/>
  <c r="A443" i="7" s="1"/>
  <c r="A444" i="7" s="1"/>
  <c r="A445" i="7" s="1"/>
  <c r="E435" i="7"/>
  <c r="D435" i="7"/>
  <c r="C435" i="7"/>
  <c r="A72" i="7"/>
  <c r="A73" i="7" s="1"/>
  <c r="A74" i="7" s="1"/>
  <c r="A75" i="7" s="1"/>
  <c r="A76" i="7" s="1"/>
  <c r="A77" i="7" s="1"/>
  <c r="A78" i="7" s="1"/>
  <c r="A79" i="7" s="1"/>
  <c r="A80" i="7" s="1"/>
  <c r="A81" i="7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37" i="17"/>
  <c r="A339" i="17"/>
  <c r="C338" i="17"/>
  <c r="B338" i="17"/>
  <c r="B254" i="17"/>
  <c r="D254" i="17" s="1"/>
  <c r="D253" i="17"/>
  <c r="D260" i="17"/>
  <c r="C261" i="17"/>
  <c r="B261" i="17"/>
  <c r="A85" i="15"/>
  <c r="A86" i="15" s="1"/>
  <c r="B84" i="15"/>
  <c r="E84" i="15" s="1"/>
  <c r="E70" i="10"/>
  <c r="B72" i="10"/>
  <c r="C71" i="10"/>
  <c r="D71" i="10"/>
  <c r="D65" i="10"/>
  <c r="E64" i="10"/>
  <c r="C52" i="9"/>
  <c r="D52" i="9" s="1"/>
  <c r="D51" i="9"/>
  <c r="A167" i="16"/>
  <c r="C166" i="16"/>
  <c r="D166" i="16"/>
  <c r="B166" i="16"/>
  <c r="E166" i="16" s="1"/>
  <c r="F315" i="8"/>
  <c r="F164" i="8"/>
  <c r="C165" i="8"/>
  <c r="E165" i="8" s="1"/>
  <c r="F165" i="8" s="1"/>
  <c r="A166" i="8"/>
  <c r="F138" i="7"/>
  <c r="F136" i="7"/>
  <c r="F142" i="7"/>
  <c r="F139" i="7"/>
  <c r="F145" i="7"/>
  <c r="F140" i="7"/>
  <c r="F143" i="7"/>
  <c r="F135" i="7"/>
  <c r="F137" i="7"/>
  <c r="F144" i="7"/>
  <c r="F369" i="8"/>
  <c r="F361" i="8"/>
  <c r="F365" i="8"/>
  <c r="A44" i="8"/>
  <c r="C44" i="8" s="1"/>
  <c r="E44" i="8" s="1"/>
  <c r="F44" i="8" s="1"/>
  <c r="F81" i="7"/>
  <c r="F363" i="8"/>
  <c r="F367" i="8"/>
  <c r="F370" i="8"/>
  <c r="F364" i="8"/>
  <c r="F360" i="8"/>
  <c r="F366" i="8"/>
  <c r="F368" i="8"/>
  <c r="F74" i="7"/>
  <c r="F77" i="7"/>
  <c r="F80" i="7"/>
  <c r="F78" i="7"/>
  <c r="F79" i="7"/>
  <c r="F76" i="7"/>
  <c r="F75" i="7"/>
  <c r="E317" i="8"/>
  <c r="E318" i="8" s="1"/>
  <c r="F316" i="8"/>
  <c r="C355" i="5"/>
  <c r="B324" i="5"/>
  <c r="C324" i="5" s="1"/>
  <c r="B305" i="5"/>
  <c r="B306" i="5" s="1"/>
  <c r="B307" i="5" s="1"/>
  <c r="B308" i="5" s="1"/>
  <c r="B309" i="5" s="1"/>
  <c r="B310" i="5" s="1"/>
  <c r="B303" i="5"/>
  <c r="B302" i="5"/>
  <c r="B301" i="5"/>
  <c r="B300" i="5"/>
  <c r="A301" i="5"/>
  <c r="A302" i="5" s="1"/>
  <c r="A303" i="5" s="1"/>
  <c r="A304" i="5" s="1"/>
  <c r="A305" i="5" s="1"/>
  <c r="A306" i="5" s="1"/>
  <c r="A307" i="5" s="1"/>
  <c r="A308" i="5" s="1"/>
  <c r="A309" i="5" s="1"/>
  <c r="A310" i="5" s="1"/>
  <c r="B220" i="5"/>
  <c r="B219" i="5"/>
  <c r="B218" i="5"/>
  <c r="B217" i="5"/>
  <c r="B215" i="5"/>
  <c r="A216" i="5"/>
  <c r="A217" i="5" s="1"/>
  <c r="A218" i="5" s="1"/>
  <c r="A219" i="5" s="1"/>
  <c r="A220" i="5" s="1"/>
  <c r="A221" i="5" s="1"/>
  <c r="A222" i="5" s="1"/>
  <c r="A223" i="5" s="1"/>
  <c r="A224" i="5" s="1"/>
  <c r="A225" i="5" s="1"/>
  <c r="F216" i="5"/>
  <c r="F217" i="5" s="1"/>
  <c r="F218" i="5" s="1"/>
  <c r="F219" i="5" s="1"/>
  <c r="F220" i="5" s="1"/>
  <c r="F221" i="5" s="1"/>
  <c r="F222" i="5" s="1"/>
  <c r="F223" i="5" s="1"/>
  <c r="F224" i="5" s="1"/>
  <c r="F225" i="5" s="1"/>
  <c r="F73" i="5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38" i="17"/>
  <c r="A340" i="17"/>
  <c r="C339" i="17"/>
  <c r="B339" i="17"/>
  <c r="D261" i="17"/>
  <c r="B86" i="15"/>
  <c r="E86" i="15" s="1"/>
  <c r="B85" i="15"/>
  <c r="E85" i="15" s="1"/>
  <c r="D66" i="10"/>
  <c r="E65" i="10"/>
  <c r="E71" i="10"/>
  <c r="B73" i="10"/>
  <c r="D72" i="10"/>
  <c r="C72" i="10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B216" i="5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39" i="17"/>
  <c r="A341" i="17"/>
  <c r="B340" i="17"/>
  <c r="C340" i="17"/>
  <c r="E72" i="10"/>
  <c r="B74" i="10"/>
  <c r="D73" i="10"/>
  <c r="C73" i="10"/>
  <c r="D67" i="10"/>
  <c r="E66" i="10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A132" i="9"/>
  <c r="A133" i="9" s="1"/>
  <c r="E135" i="9"/>
  <c r="D182" i="9"/>
  <c r="D183" i="9"/>
  <c r="D184" i="9"/>
  <c r="D185" i="9"/>
  <c r="D186" i="9"/>
  <c r="D187" i="9"/>
  <c r="F187" i="9" s="1"/>
  <c r="E181" i="9"/>
  <c r="E182" i="9"/>
  <c r="E183" i="9"/>
  <c r="E184" i="9"/>
  <c r="E185" i="9"/>
  <c r="E186" i="9"/>
  <c r="E187" i="9"/>
  <c r="C177" i="9"/>
  <c r="E177" i="9" s="1"/>
  <c r="B177" i="9"/>
  <c r="D177" i="9" s="1"/>
  <c r="A178" i="9"/>
  <c r="C178" i="9" s="1"/>
  <c r="E178" i="9" s="1"/>
  <c r="C131" i="9"/>
  <c r="E131" i="9" s="1"/>
  <c r="B131" i="9"/>
  <c r="D131" i="9" s="1"/>
  <c r="A87" i="9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A39" i="9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C263" i="5"/>
  <c r="C265" i="5" s="1"/>
  <c r="C267" i="5" s="1"/>
  <c r="B277" i="5"/>
  <c r="C277" i="5" s="1"/>
  <c r="B278" i="5"/>
  <c r="C278" i="5" s="1"/>
  <c r="B279" i="5"/>
  <c r="C279" i="5" s="1"/>
  <c r="B280" i="5"/>
  <c r="C280" i="5" s="1"/>
  <c r="B281" i="5"/>
  <c r="D281" i="5" s="1"/>
  <c r="E281" i="5" s="1"/>
  <c r="B282" i="5"/>
  <c r="D282" i="5" s="1"/>
  <c r="E282" i="5" s="1"/>
  <c r="B276" i="5"/>
  <c r="D276" i="5" s="1"/>
  <c r="E276" i="5" s="1"/>
  <c r="A277" i="5"/>
  <c r="A278" i="5" s="1"/>
  <c r="A279" i="5" s="1"/>
  <c r="A280" i="5" s="1"/>
  <c r="A281" i="5" s="1"/>
  <c r="A282" i="5" s="1"/>
  <c r="A283" i="5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E73" i="10"/>
  <c r="D340" i="17"/>
  <c r="A342" i="17"/>
  <c r="B341" i="17"/>
  <c r="C341" i="17"/>
  <c r="B75" i="10"/>
  <c r="D74" i="10"/>
  <c r="C74" i="10"/>
  <c r="E74" i="10" s="1"/>
  <c r="D68" i="10"/>
  <c r="E68" i="10" s="1"/>
  <c r="E67" i="10"/>
  <c r="C87" i="9"/>
  <c r="B87" i="9"/>
  <c r="B39" i="9"/>
  <c r="C39" i="9"/>
  <c r="B178" i="9"/>
  <c r="D178" i="9" s="1"/>
  <c r="F178" i="9" s="1"/>
  <c r="F186" i="9"/>
  <c r="C132" i="9"/>
  <c r="E132" i="9" s="1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B133" i="9"/>
  <c r="D133" i="9" s="1"/>
  <c r="A134" i="9"/>
  <c r="A135" i="9" s="1"/>
  <c r="A136" i="9" s="1"/>
  <c r="A137" i="9" s="1"/>
  <c r="A138" i="9" s="1"/>
  <c r="A139" i="9" s="1"/>
  <c r="A140" i="9" s="1"/>
  <c r="A141" i="9" s="1"/>
  <c r="F185" i="9"/>
  <c r="A179" i="9"/>
  <c r="C133" i="9"/>
  <c r="E133" i="9" s="1"/>
  <c r="B132" i="9"/>
  <c r="D132" i="9" s="1"/>
  <c r="F131" i="9"/>
  <c r="A88" i="9"/>
  <c r="A40" i="9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C276" i="5"/>
  <c r="C282" i="5"/>
  <c r="C281" i="5"/>
  <c r="D279" i="5"/>
  <c r="E279" i="5" s="1"/>
  <c r="D278" i="5"/>
  <c r="E278" i="5" s="1"/>
  <c r="D277" i="5"/>
  <c r="E277" i="5" s="1"/>
  <c r="D280" i="5"/>
  <c r="E280" i="5" s="1"/>
  <c r="A284" i="5"/>
  <c r="B283" i="5"/>
  <c r="A228" i="2"/>
  <c r="A248" i="2"/>
  <c r="B247" i="2"/>
  <c r="C247" i="2" s="1"/>
  <c r="A238" i="16" l="1"/>
  <c r="D237" i="16"/>
  <c r="B237" i="16"/>
  <c r="C237" i="16"/>
  <c r="E236" i="16"/>
  <c r="D341" i="17"/>
  <c r="B342" i="17"/>
  <c r="C342" i="17"/>
  <c r="D75" i="10"/>
  <c r="C75" i="10"/>
  <c r="C88" i="9"/>
  <c r="B88" i="9"/>
  <c r="C40" i="9"/>
  <c r="B40" i="9"/>
  <c r="D40" i="9" s="1"/>
  <c r="D39" i="9"/>
  <c r="B179" i="9"/>
  <c r="D179" i="9" s="1"/>
  <c r="C179" i="9"/>
  <c r="E179" i="9" s="1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180" i="9"/>
  <c r="C134" i="9"/>
  <c r="E134" i="9" s="1"/>
  <c r="B134" i="9"/>
  <c r="D134" i="9" s="1"/>
  <c r="F134" i="9" s="1"/>
  <c r="F133" i="9"/>
  <c r="F132" i="9"/>
  <c r="A41" i="9"/>
  <c r="A89" i="9"/>
  <c r="B89" i="9" s="1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C283" i="5"/>
  <c r="D283" i="5"/>
  <c r="E283" i="5" s="1"/>
  <c r="B284" i="5"/>
  <c r="A285" i="5"/>
  <c r="A229" i="2"/>
  <c r="A249" i="2"/>
  <c r="B248" i="2"/>
  <c r="C248" i="2" s="1"/>
  <c r="E237" i="16" l="1"/>
  <c r="A239" i="16"/>
  <c r="B238" i="16"/>
  <c r="D238" i="16"/>
  <c r="C238" i="16"/>
  <c r="E238" i="16" s="1"/>
  <c r="D342" i="17"/>
  <c r="E75" i="10"/>
  <c r="C41" i="9"/>
  <c r="B41" i="9"/>
  <c r="D41" i="9" s="1"/>
  <c r="C180" i="9"/>
  <c r="E180" i="9" s="1"/>
  <c r="B180" i="9"/>
  <c r="D180" i="9" s="1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181" i="9"/>
  <c r="B181" i="9" s="1"/>
  <c r="D181" i="9" s="1"/>
  <c r="F179" i="9"/>
  <c r="B135" i="9"/>
  <c r="D135" i="9" s="1"/>
  <c r="A42" i="9"/>
  <c r="F135" i="9"/>
  <c r="A90" i="9"/>
  <c r="B90" i="9" s="1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C284" i="5"/>
  <c r="D284" i="5"/>
  <c r="E284" i="5" s="1"/>
  <c r="B285" i="5"/>
  <c r="A286" i="5"/>
  <c r="A230" i="2"/>
  <c r="A250" i="2"/>
  <c r="B249" i="2"/>
  <c r="C249" i="2" s="1"/>
  <c r="A240" i="16" l="1"/>
  <c r="C239" i="16"/>
  <c r="B239" i="16"/>
  <c r="D239" i="16"/>
  <c r="F170" i="8"/>
  <c r="A43" i="9"/>
  <c r="B43" i="9" s="1"/>
  <c r="D43" i="9" s="1"/>
  <c r="C42" i="9"/>
  <c r="B42" i="9"/>
  <c r="D42" i="9" s="1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182" i="9"/>
  <c r="F181" i="9"/>
  <c r="F180" i="9"/>
  <c r="E136" i="9"/>
  <c r="B136" i="9"/>
  <c r="D136" i="9" s="1"/>
  <c r="A91" i="9"/>
  <c r="B91" i="9" s="1"/>
  <c r="A44" i="9"/>
  <c r="B44" i="9" s="1"/>
  <c r="D44" i="9" s="1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C285" i="5"/>
  <c r="D285" i="5"/>
  <c r="E285" i="5" s="1"/>
  <c r="B286" i="5"/>
  <c r="A287" i="5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F136" i="9"/>
  <c r="F182" i="9"/>
  <c r="A183" i="9"/>
  <c r="E137" i="9"/>
  <c r="B137" i="9"/>
  <c r="D137" i="9" s="1"/>
  <c r="A92" i="9"/>
  <c r="B92" i="9" s="1"/>
  <c r="A45" i="9"/>
  <c r="B45" i="9" s="1"/>
  <c r="D45" i="9" s="1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C286" i="5"/>
  <c r="D286" i="5"/>
  <c r="E286" i="5" s="1"/>
  <c r="B287" i="5"/>
  <c r="A288" i="5"/>
  <c r="B288" i="5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F137" i="9"/>
  <c r="A184" i="9"/>
  <c r="F183" i="9"/>
  <c r="B138" i="9"/>
  <c r="D138" i="9" s="1"/>
  <c r="E138" i="9"/>
  <c r="A93" i="9"/>
  <c r="B93" i="9" s="1"/>
  <c r="A46" i="9"/>
  <c r="B46" i="9" s="1"/>
  <c r="D46" i="9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C287" i="5"/>
  <c r="D287" i="5"/>
  <c r="E287" i="5" s="1"/>
  <c r="C288" i="5"/>
  <c r="D288" i="5"/>
  <c r="E288" i="5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184" i="9"/>
  <c r="A185" i="9"/>
  <c r="A186" i="9" s="1"/>
  <c r="A187" i="9" s="1"/>
  <c r="F138" i="9"/>
  <c r="D139" i="9"/>
  <c r="E139" i="9"/>
  <c r="A94" i="9"/>
  <c r="A47" i="9"/>
  <c r="B47" i="9" s="1"/>
  <c r="D47" i="9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F139" i="9"/>
  <c r="E140" i="9"/>
  <c r="D140" i="9"/>
  <c r="A95" i="9"/>
  <c r="A96" i="9" s="1"/>
  <c r="A97" i="9" s="1"/>
  <c r="A48" i="9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F140" i="9"/>
  <c r="E176" i="16"/>
  <c r="A178" i="16"/>
  <c r="B177" i="16"/>
  <c r="C177" i="16"/>
  <c r="D177" i="16"/>
  <c r="D141" i="9"/>
  <c r="E141" i="9"/>
  <c r="A49" i="9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141" i="9"/>
  <c r="A50" i="9"/>
  <c r="A51" i="9" s="1"/>
  <c r="A52" i="9" s="1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<sst xmlns="http://schemas.openxmlformats.org/spreadsheetml/2006/main" count="4447" uniqueCount="2601">
  <si>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</si>
  <si>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</si>
  <si>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</si>
  <si>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</si>
  <si>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</si>
  <si>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</si>
  <si>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</si>
  <si>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</si>
  <si>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</si>
  <si>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</si>
  <si>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</si>
  <si>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</si>
  <si>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</si>
  <si>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</si>
  <si>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</si>
  <si>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</si>
  <si>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</si>
  <si>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</si>
  <si>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</si>
  <si>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</si>
  <si>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</si>
  <si>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</si>
  <si>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</si>
  <si>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</si>
  <si>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</si>
  <si>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</si>
  <si>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</si>
  <si>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</si>
  <si>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</si>
  <si>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</si>
  <si>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</si>
  <si>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</si>
  <si>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</si>
  <si>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</si>
  <si>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</si>
  <si>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</si>
  <si>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</si>
  <si>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</si>
  <si>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</si>
  <si>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</si>
  <si>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</si>
  <si>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</si>
  <si>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</si>
  <si>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</si>
  <si>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</si>
  <si>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</si>
  <si>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</si>
  <si>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</si>
  <si>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</si>
  <si>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</si>
  <si>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</si>
  <si>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</si>
  <si>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</si>
  <si>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</si>
  <si>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</si>
  <si>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</si>
  <si>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</si>
  <si>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</si>
  <si>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</si>
  <si>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</si>
  <si>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</si>
  <si>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</si>
  <si>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</si>
  <si>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</si>
  <si>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</si>
  <si>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</si>
  <si>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</si>
  <si>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</si>
  <si>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</si>
  <si>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</si>
  <si>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</si>
  <si>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</si>
  <si>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</si>
  <si>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</si>
  <si>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</si>
  <si>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</si>
  <si>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</si>
  <si>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</si>
  <si>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</si>
  <si>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</si>
  <si>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</si>
  <si>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</si>
  <si>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</si>
  <si>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</si>
  <si>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</si>
  <si>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</si>
  <si>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</si>
  <si>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</si>
  <si>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</si>
  <si>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</si>
  <si>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</si>
  <si>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</si>
  <si>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</si>
  <si>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</si>
  <si>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</si>
  <si>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</si>
  <si>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</si>
  <si>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</si>
  <si>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</si>
  <si>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</si>
  <si>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</si>
  <si>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</si>
  <si>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</si>
  <si>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</si>
  <si>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</si>
  <si>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</si>
  <si>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</si>
  <si>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</si>
  <si>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</si>
  <si>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</si>
  <si>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</si>
  <si>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</si>
  <si>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</si>
  <si>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</si>
  <si>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</si>
  <si>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</si>
  <si>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</si>
  <si>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</si>
  <si>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</si>
  <si>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</si>
  <si>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</si>
  <si>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</si>
  <si>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</si>
  <si>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</si>
  <si>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</si>
  <si>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</si>
  <si>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</si>
  <si>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</si>
  <si>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</si>
  <si>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</si>
  <si>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</si>
  <si>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</si>
  <si>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</si>
  <si>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</si>
  <si>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</si>
  <si>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</si>
  <si>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</si>
  <si>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</si>
  <si>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</si>
  <si>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</si>
  <si>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</si>
  <si>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</si>
  <si>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</si>
  <si>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</si>
  <si>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</si>
  <si>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</si>
  <si>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</si>
  <si>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</si>
  <si>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</si>
  <si>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</si>
  <si>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</si>
  <si>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</si>
  <si>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</si>
  <si>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</si>
  <si>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</si>
  <si>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</si>
  <si>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</si>
  <si>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</si>
  <si>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</si>
  <si>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</si>
  <si>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</si>
  <si>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</si>
  <si>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</si>
  <si>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</si>
  <si>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</si>
  <si>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</si>
  <si>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</si>
  <si>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</si>
  <si>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</si>
  <si>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</si>
  <si>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</si>
  <si>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</si>
  <si>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</si>
  <si>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</si>
  <si>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</si>
  <si>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</si>
  <si>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</si>
  <si>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</si>
  <si>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</si>
  <si>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</si>
  <si>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</si>
  <si>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</si>
  <si>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</si>
  <si>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</si>
  <si>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</si>
  <si>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</si>
  <si>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</si>
  <si>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</si>
  <si>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</si>
  <si>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</si>
  <si>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</si>
  <si>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</si>
  <si>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</si>
  <si>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</si>
  <si>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</si>
  <si>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</si>
  <si>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</si>
  <si>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</si>
  <si>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</si>
  <si>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</si>
  <si>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</si>
  <si>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</si>
  <si>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</si>
  <si>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</si>
  <si>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</si>
  <si>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</si>
  <si>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</si>
  <si>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</si>
  <si>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</si>
  <si>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</si>
  <si>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</si>
  <si>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</si>
  <si>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</si>
  <si>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</si>
  <si>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</si>
  <si>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</si>
  <si>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</si>
  <si>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</si>
  <si>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</si>
  <si>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</si>
  <si>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</si>
  <si>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</si>
  <si>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</si>
  <si>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</si>
  <si>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</si>
  <si>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</si>
  <si>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</si>
  <si>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</si>
  <si>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</si>
  <si>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</si>
  <si>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</si>
  <si>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</si>
  <si>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</si>
  <si>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</si>
  <si>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</si>
  <si>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</si>
  <si>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</si>
  <si>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</si>
  <si>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</si>
  <si>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</si>
  <si>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</si>
  <si>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</si>
  <si>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</si>
  <si>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</si>
  <si>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</si>
  <si>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</si>
  <si>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</si>
  <si>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נקרא גם ״strike״ או ״תוספת מימוש״: הסכום שישולם כדי ״להפעיל״ את הזכות באופציה מצד הקונה</t>
  </si>
  <si>
    <t xml:space="preserve">במקרה של אופציית Call, או הסכום שיתקבל במסגרת מימוש הזכות כאשר מדובר באופציית Put. </t>
  </si>
  <si>
    <t xml:space="preserve">נקרא גם מחיר השוק במימוש / פקיעה: שער נכס הבסיס במועד המימוש (spot price on time t = st). </t>
  </si>
  <si>
    <t>premium</t>
  </si>
  <si>
    <t>פרמיה: עלות האופציה. משולמת על ידי רוכש האופציה, מתקבלת על ידי כותב האופציה.</t>
  </si>
  <si>
    <t>short</t>
  </si>
  <si>
    <t>כתיבת אופציה. זהו לא התיאור המלא; short מתאר באופן כללי כלים פיננסיים שמטרתם ביצוע פעולה</t>
  </si>
  <si>
    <t xml:space="preserve">המניבה חשיפה הפוכה מנכס הבסיס. אך מבחינתנו, נדון ב - short put ו- short call. </t>
  </si>
  <si>
    <t>put</t>
  </si>
  <si>
    <t>call</t>
  </si>
  <si>
    <t xml:space="preserve">אופציית מכר: אופציה המקנה לאוחז בה זכות למכור נכס בסיס מסוים במחיר ידוע (עד מועד ידוע). </t>
  </si>
  <si>
    <t xml:space="preserve">אופציית רכש: אופציה המקנה לאוחז בה זכות לרכוש נכס בסיס מסוים במחיר ידוע (עד מועד ידוע). </t>
  </si>
  <si>
    <t>CF long Call</t>
  </si>
  <si>
    <t>CF long Put</t>
  </si>
  <si>
    <t xml:space="preserve">הפרש חיובי בין x ל- st. אם ההפרש איננו חיובי, אזי בהכרח CF long Put = 0. </t>
  </si>
  <si>
    <t xml:space="preserve">הפרש חיובי בין st ל - x. אם ההפרש איננו חיובי, אזי בהכרח CF long Call = 0. 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</si>
  <si>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</si>
  <si>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</si>
  <si>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</si>
  <si>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</si>
  <si>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</si>
  <si>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</si>
  <si>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</si>
  <si>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</si>
  <si>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</si>
  <si>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</si>
  <si>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</si>
  <si>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</si>
  <si>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</si>
  <si>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</si>
  <si>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תזרים בפקיעה (לפני ההתחשבות בעלות האופציה / התקבול הראשוני מכתיבתה עבור הכותב).</t>
  </si>
  <si>
    <t xml:space="preserve">א. רענון מושגי והידוק התכנים ברמת השתתפות הקהל, בצורה מרוכזת (ובשאיפה - ברורה). </t>
  </si>
  <si>
    <t>ב. דיון עמוק יותר בסוגיית אופציית Put וההיגיון בבסיסה.</t>
  </si>
  <si>
    <t>P&amp;L</t>
  </si>
  <si>
    <t xml:space="preserve">רווח / הפסד מהעסקה, ההפרש בין CF לבין premium. 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</si>
  <si>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</si>
  <si>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</si>
  <si>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</si>
  <si>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</si>
  <si>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</si>
  <si>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</si>
  <si>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</si>
  <si>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</si>
  <si>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</si>
  <si>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</si>
  <si>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</si>
  <si>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</si>
  <si>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</si>
  <si>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</si>
  <si>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</si>
  <si>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</si>
  <si>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</si>
  <si>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</si>
  <si>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</si>
  <si>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</si>
  <si>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</si>
  <si>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</si>
  <si>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</si>
  <si>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</si>
  <si>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</si>
  <si>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</si>
  <si>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מטרת השיעור לפחות ברמת התכנון (כי הכי חשוב ליצור השתתפות רחבה והטמעה בשלב זה) משולשת: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</si>
  <si>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</si>
  <si>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</si>
  <si>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</si>
  <si>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</si>
  <si>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</si>
  <si>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</si>
  <si>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</si>
  <si>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</si>
  <si>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</si>
  <si>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</si>
  <si>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</si>
  <si>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</si>
  <si>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</si>
  <si>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</si>
  <si>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</si>
  <si>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</si>
  <si>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</si>
  <si>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</si>
  <si>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</si>
  <si>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</si>
  <si>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</si>
  <si>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</si>
  <si>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</si>
  <si>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</si>
  <si>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</si>
  <si>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</si>
  <si>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</si>
  <si>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</si>
  <si>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</si>
  <si>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</si>
  <si>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</si>
  <si>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</si>
  <si>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</si>
  <si>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</si>
  <si>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</si>
  <si>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</si>
  <si>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</si>
  <si>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</si>
  <si>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</si>
  <si>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</si>
  <si>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</si>
  <si>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>לכן, כדי לגדר את החשיפה ולמנוע הפסדים משמעותיים, מקובלות במידה רבה אסטרטגיות מורכבות יותר, שתכליתן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</si>
  <si>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</si>
  <si>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</si>
  <si>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</si>
  <si>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</si>
  <si>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</si>
  <si>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</si>
  <si>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</si>
  <si>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</si>
  <si>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</si>
  <si>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</si>
  <si>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</si>
  <si>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</si>
  <si>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</si>
  <si>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</si>
  <si>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</si>
  <si>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</si>
  <si>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</si>
  <si>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</si>
  <si>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</si>
  <si>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</si>
  <si>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</si>
  <si>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</si>
  <si>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</si>
  <si>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</si>
  <si>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</si>
  <si>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</si>
  <si>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</si>
  <si>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</si>
  <si>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</si>
  <si>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</si>
  <si>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</si>
  <si>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</si>
  <si>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</si>
  <si>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</si>
  <si>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</si>
  <si>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</si>
  <si>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</si>
  <si>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</si>
  <si>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</si>
  <si>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</si>
  <si>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</si>
  <si>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</si>
  <si>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</si>
  <si>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</si>
  <si>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</si>
  <si>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</si>
  <si>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</si>
  <si>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</si>
  <si>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</si>
  <si>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</si>
  <si>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</si>
  <si>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</si>
  <si>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</si>
  <si>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</si>
  <si>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</si>
  <si>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</si>
  <si>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</si>
  <si>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</si>
  <si>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</si>
  <si>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</si>
  <si>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</si>
  <si>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</si>
  <si>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</si>
  <si>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</si>
  <si>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</si>
  <si>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</si>
  <si>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</si>
  <si>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</si>
  <si>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</si>
  <si>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</si>
  <si>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</si>
  <si>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</si>
  <si>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</si>
  <si>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</si>
  <si>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</si>
  <si>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</si>
  <si>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</si>
  <si>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</si>
  <si>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</si>
  <si>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</si>
  <si>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</si>
  <si>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</si>
  <si>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</si>
  <si>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</si>
  <si>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</si>
  <si>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</si>
  <si>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</si>
  <si>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</si>
  <si>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</si>
  <si>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</si>
  <si>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</si>
  <si>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אופציות ומכשירים פיננסיים מתוחכמים - הרצאה 5 - אסטרטגיות משולבות - המשך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</si>
  <si>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</si>
  <si>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</si>
  <si>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</si>
  <si>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</si>
  <si>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</si>
  <si>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</si>
  <si>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</si>
  <si>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</si>
  <si>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</si>
  <si>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</si>
  <si>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</si>
  <si>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</si>
  <si>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</si>
  <si>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</si>
  <si>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</si>
  <si>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</si>
  <si>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</si>
  <si>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</si>
  <si>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</si>
  <si>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</si>
  <si>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</si>
  <si>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</si>
  <si>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</si>
  <si>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</si>
  <si>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</si>
  <si>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</si>
  <si>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</si>
  <si>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</si>
  <si>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</si>
  <si>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</si>
  <si>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</si>
  <si>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</si>
  <si>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</si>
  <si>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</si>
  <si>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</si>
  <si>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</si>
  <si>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</si>
  <si>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</si>
  <si>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</si>
  <si>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</si>
  <si>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</si>
  <si>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</si>
  <si>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</si>
  <si>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</si>
  <si>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</si>
  <si>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</si>
  <si>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</si>
  <si>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</si>
  <si>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</si>
  <si>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</si>
  <si>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</si>
  <si>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</si>
  <si>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</si>
  <si>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</si>
  <si>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</si>
  <si>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</si>
  <si>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</si>
  <si>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</si>
  <si>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</si>
  <si>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</si>
  <si>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</si>
  <si>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</si>
  <si>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</si>
  <si>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</si>
  <si>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</si>
  <si>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</si>
  <si>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</si>
  <si>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</si>
  <si>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</si>
  <si>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Put, strike&gt;=st</t>
  </si>
  <si>
    <t>Put, strike&lt;st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</si>
  <si>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</si>
  <si>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</si>
  <si>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</si>
  <si>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</si>
  <si>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</si>
  <si>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</si>
  <si>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</si>
  <si>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</si>
  <si>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</si>
  <si>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</si>
  <si>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</si>
  <si>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</si>
  <si>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</si>
  <si>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</si>
  <si>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</si>
  <si>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</si>
  <si>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</si>
  <si>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</si>
  <si>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</si>
  <si>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</si>
  <si>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</si>
  <si>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</si>
  <si>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</si>
  <si>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</si>
  <si>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</si>
  <si>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</si>
  <si>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</si>
  <si>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</si>
  <si>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</si>
  <si>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</si>
  <si>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</si>
  <si>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</si>
  <si>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</si>
  <si>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</si>
  <si>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</si>
  <si>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</si>
  <si>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</si>
  <si>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</si>
  <si>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</si>
  <si>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</si>
  <si>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</si>
  <si>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</si>
  <si>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</si>
  <si>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</si>
  <si>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</si>
  <si>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</si>
  <si>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</si>
  <si>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</si>
  <si>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</si>
  <si>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</si>
  <si>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</si>
  <si>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</si>
  <si>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</si>
  <si>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</si>
  <si>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</si>
  <si>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</si>
  <si>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</si>
  <si>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</si>
  <si>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</si>
  <si>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</si>
  <si>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</si>
  <si>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</si>
  <si>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</si>
  <si>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</si>
  <si>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</si>
  <si>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</si>
  <si>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</si>
  <si>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</si>
  <si>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</si>
  <si>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</si>
  <si>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</si>
  <si>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</si>
  <si>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</si>
  <si>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</si>
  <si>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</si>
  <si>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</si>
  <si>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</si>
  <si>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</si>
  <si>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</si>
  <si>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</si>
  <si>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</si>
  <si>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</si>
  <si>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</si>
  <si>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</si>
  <si>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</si>
  <si>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</si>
  <si>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</si>
  <si>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</si>
  <si>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</si>
  <si>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</si>
  <si>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</si>
  <si>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</si>
  <si>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</si>
  <si>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</si>
  <si>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</si>
  <si>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</si>
  <si>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</si>
  <si>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</si>
  <si>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</si>
  <si>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</si>
  <si>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</si>
  <si>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</si>
  <si>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</si>
  <si>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</si>
  <si>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</si>
  <si>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</si>
  <si>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</si>
  <si>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</si>
  <si>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</si>
  <si>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</si>
  <si>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</si>
  <si>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</si>
  <si>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</si>
  <si>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</si>
  <si>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</si>
  <si>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</si>
  <si>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</si>
  <si>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</si>
  <si>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</si>
  <si>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</si>
  <si>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</si>
  <si>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</si>
  <si>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</si>
  <si>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</si>
  <si>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</si>
  <si>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</si>
  <si>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</si>
  <si>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</si>
  <si>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</si>
  <si>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</si>
  <si>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</si>
  <si>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</si>
  <si>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</si>
  <si>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</si>
  <si>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</si>
  <si>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</si>
  <si>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</si>
  <si>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</si>
  <si>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</si>
  <si>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</si>
  <si>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</si>
  <si>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</si>
  <si>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</si>
  <si>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</si>
  <si>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</si>
  <si>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</si>
  <si>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</si>
  <si>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</si>
  <si>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</si>
  <si>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</si>
  <si>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</si>
  <si>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</si>
  <si>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</si>
  <si>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</si>
  <si>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</si>
  <si>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</si>
  <si>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</si>
  <si>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</si>
  <si>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</si>
  <si>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</si>
  <si>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</si>
  <si>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</si>
  <si>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</si>
  <si>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</si>
  <si>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</si>
  <si>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</si>
  <si>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</si>
  <si>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</si>
  <si>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</si>
  <si>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</si>
  <si>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</si>
  <si>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</si>
  <si>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</si>
  <si>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</si>
  <si>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</si>
  <si>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</si>
  <si>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</si>
  <si>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</si>
  <si>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</si>
  <si>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</si>
  <si>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</si>
  <si>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</si>
  <si>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</si>
  <si>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</si>
  <si>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</si>
  <si>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</si>
  <si>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</si>
  <si>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</si>
  <si>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</si>
  <si>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</si>
  <si>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</si>
  <si>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</si>
  <si>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</si>
  <si>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</si>
  <si>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</si>
  <si>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</si>
  <si>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</si>
  <si>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</si>
  <si>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</si>
  <si>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</si>
  <si>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</si>
  <si>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</si>
  <si>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</si>
  <si>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</si>
  <si>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</si>
  <si>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</si>
  <si>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</si>
  <si>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</si>
  <si>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</si>
  <si>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</si>
  <si>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</si>
  <si>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</si>
  <si>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</si>
  <si>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</si>
  <si>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</si>
  <si>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</si>
  <si>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</si>
  <si>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</si>
  <si>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</si>
  <si>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</si>
  <si>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</si>
  <si>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</si>
  <si>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</si>
  <si>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</si>
  <si>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</si>
  <si>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</si>
  <si>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</si>
  <si>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</si>
  <si>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</si>
  <si>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</si>
  <si>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</si>
  <si>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</si>
  <si>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</si>
  <si>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>מיקוד סופי: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</si>
  <si>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</si>
  <si>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</si>
  <si>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</si>
  <si>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</si>
  <si>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</si>
  <si>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</si>
  <si>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</si>
  <si>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</si>
  <si>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</si>
  <si>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</si>
  <si>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</si>
  <si>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</si>
  <si>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</si>
  <si>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</si>
  <si>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</si>
  <si>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</si>
  <si>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</si>
  <si>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</si>
  <si>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</si>
  <si>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</si>
  <si>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</si>
  <si>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</si>
  <si>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</si>
  <si>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</si>
  <si>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</si>
  <si>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</si>
  <si>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</si>
  <si>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</si>
  <si>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</si>
  <si>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</si>
  <si>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</si>
  <si>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</si>
  <si>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</si>
  <si>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</si>
  <si>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</si>
  <si>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</si>
  <si>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</si>
  <si>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</si>
  <si>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</si>
  <si>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</si>
  <si>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</si>
  <si>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</si>
  <si>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</si>
  <si>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</si>
  <si>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</si>
  <si>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</si>
  <si>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</si>
  <si>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</si>
  <si>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</si>
  <si>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</si>
  <si>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</si>
  <si>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</si>
  <si>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</si>
  <si>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</si>
  <si>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</si>
  <si>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</si>
  <si>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</si>
  <si>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</si>
  <si>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</si>
  <si>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</si>
  <si>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</si>
  <si>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</si>
  <si>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</si>
  <si>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</si>
  <si>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</si>
  <si>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</si>
  <si>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</si>
  <si>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</si>
  <si>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</si>
  <si>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</si>
  <si>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</si>
  <si>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</si>
  <si>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</si>
  <si>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</si>
  <si>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</si>
  <si>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</si>
  <si>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</si>
  <si>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</si>
  <si>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</si>
  <si>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</si>
  <si>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</si>
  <si>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</si>
  <si>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</si>
  <si>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</si>
  <si>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</si>
  <si>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</si>
  <si>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</si>
  <si>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</si>
  <si>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</si>
  <si>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</si>
  <si>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</si>
  <si>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</si>
  <si>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</si>
  <si>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</si>
  <si>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</si>
  <si>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</si>
  <si>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</si>
  <si>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</si>
  <si>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</si>
  <si>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</si>
  <si>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</si>
  <si>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</si>
  <si>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</si>
  <si>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</si>
  <si>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</si>
  <si>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</si>
  <si>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</si>
  <si>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</si>
  <si>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</si>
  <si>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</si>
  <si>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</si>
  <si>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</si>
  <si>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</si>
  <si>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</si>
  <si>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</si>
  <si>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</si>
  <si>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</si>
  <si>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</si>
  <si>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</si>
  <si>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</si>
  <si>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</si>
  <si>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</si>
  <si>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</si>
  <si>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</si>
  <si>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</si>
  <si>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</si>
  <si>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</si>
  <si>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</si>
  <si>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</si>
  <si>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</si>
  <si>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</si>
  <si>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</si>
  <si>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</si>
  <si>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</si>
  <si>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</si>
  <si>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</si>
  <si>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</si>
  <si>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</si>
  <si>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</si>
  <si>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</si>
  <si>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</si>
  <si>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</si>
  <si>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</si>
  <si>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</si>
  <si>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</si>
  <si>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</si>
  <si>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</si>
  <si>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</si>
  <si>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</si>
  <si>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</si>
  <si>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</si>
  <si>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</si>
  <si>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</si>
  <si>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</si>
  <si>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</si>
  <si>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</si>
  <si>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</si>
  <si>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</si>
  <si>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</si>
  <si>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</si>
  <si>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</si>
  <si>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</si>
  <si>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</si>
  <si>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</si>
  <si>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</si>
  <si>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</si>
  <si>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</si>
  <si>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</si>
  <si>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</si>
  <si>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</si>
  <si>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</si>
  <si>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</si>
  <si>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</si>
  <si>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</si>
  <si>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</si>
  <si>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</si>
  <si>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</si>
  <si>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</si>
  <si>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</si>
  <si>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</si>
  <si>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</si>
  <si>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</si>
  <si>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</si>
  <si>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</si>
  <si>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</si>
  <si>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</si>
  <si>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>סיכום ביניים קצר:</t>
  </si>
  <si>
    <t>עד כה - למדנו על המשמעות הבסיסית של אופציית Call ״פשוטה״ - זכות לקנות.</t>
  </si>
  <si>
    <t xml:space="preserve">היא היתה ״פשוטה״ במובן זה שהיא כללה נכס אחד בלבד. </t>
  </si>
  <si>
    <t>בנוסף, הנחת העבודה הפשטנית שלנו היתה, שהנכס נרכש במסגרת האופציה במידה וכדאי לממש.</t>
  </si>
  <si>
    <t xml:space="preserve">בהמשך הדרך, נציג אופציות Call ״עם מכפילים״ - אופציות על מדד, אופציות על מט״ח. </t>
  </si>
  <si>
    <t>בנוסף, נרצה להתייחס להתחשבנות ״נטו״ בגין אופציות, ולהיות מסוגלים לחשב רווח / הפסד</t>
  </si>
  <si>
    <t xml:space="preserve">גם ללא שימוש בטבלה. </t>
  </si>
  <si>
    <t>נושא חדש: אופציות על הדולר, על מדדי מניות - וחישוב ישיר של רוו״ה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</si>
  <si>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</si>
  <si>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</si>
  <si>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</si>
  <si>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r>
      <t xml:space="preserve">אופציות אלו שהן סחירות בבורסה ועם נפח מסחר יחסית גדול - מקנות זכות לרכוש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</si>
  <si>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</si>
  <si>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</si>
  <si>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</si>
  <si>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</si>
  <si>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המשמעות: המכפיל = 10,000. </t>
  </si>
  <si>
    <t xml:space="preserve">באופציות על מדדי מניות, למשל ת״א 35, המכפיל 100. 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</si>
  <si>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</si>
  <si>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</si>
  <si>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</si>
  <si>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</si>
  <si>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</si>
  <si>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</si>
  <si>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</si>
  <si>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</si>
  <si>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</si>
  <si>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</si>
  <si>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</si>
  <si>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</si>
  <si>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</si>
  <si>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</si>
  <si>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</si>
  <si>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</si>
  <si>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</si>
  <si>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</si>
  <si>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</si>
  <si>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</si>
  <si>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</si>
  <si>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</si>
  <si>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</si>
  <si>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</si>
  <si>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 xml:space="preserve">ג. המשך העמקה בסוגיית המכפילים. </t>
  </si>
  <si>
    <t>תרגיל 1 - מושגי יסוד</t>
  </si>
  <si>
    <t>סמנו נכון / לא נכון:</t>
  </si>
  <si>
    <t>ג. ההחלטה האם לממש / לא לממש אופציה (שנרכשה בעבר) במועד הפקיעה, תלויה בסכום הפרמיה ששולמה בעד העסקה</t>
  </si>
  <si>
    <t>ד. רווח / הפסד מאופציית Call תמיד מתחשב בסכום הפרמיה ששולמה בעד האופציה</t>
  </si>
  <si>
    <t>מכפיל</t>
  </si>
  <si>
    <t xml:space="preserve">מספר יחידות נכס הבסיס אליהן מתייחסת אופציה. במט״ח למשל, מס׳ היח׳ הוא 10,000. </t>
  </si>
  <si>
    <t>מיני רציו ורענון מושגי:</t>
  </si>
  <si>
    <t>א. ככל שמחיר המימוש (x) של אופציית Call גבוה יותר, נצפה שמחירה (הפרמיה בעדה) תהיה גבוהה יותר</t>
  </si>
  <si>
    <t xml:space="preserve">מחיר המימוש: המחיר שבמסגרת האופציה נקבע שנדרש לשלם כדי להפוך אותה למניה. </t>
  </si>
  <si>
    <t>למשל: אופציה לקנות מניה אחת של חברת ״שייקונים״ בתמורה ל-100 ש״ח. במקרה זה, 100 ש״ח זהו מחיר המימוש.</t>
  </si>
  <si>
    <t>נניח שקיימת אופציה נוספת על מניית שייקונים, שמחיר המימוש שלה 500. כלומר, מאפשרת לקנות את אותה המניה</t>
  </si>
  <si>
    <t xml:space="preserve">אבל במחיר 500. </t>
  </si>
  <si>
    <t>מה שווה ״יותר״ לדעתכם? מכשיר פיננסי שמקנה לי זכות לרכוש את המניה ב-100 או מכשיר פיננסי שמקנה לי זכות</t>
  </si>
  <si>
    <t>לקנות את המניה ב-500?</t>
  </si>
  <si>
    <t xml:space="preserve">כמובן שזכות לקנות את המניה ב-100 שווה יותר: מקבלים את אותו נכס, ומשלמים בעדו פחות - להיט. </t>
  </si>
  <si>
    <t xml:space="preserve">במלים אחרות: אופציית Call היא זכות לקנות; עדיף (״שווה״) לקנות בכמה שפחות. </t>
  </si>
  <si>
    <t>לא נכון</t>
  </si>
  <si>
    <t>יותר).</t>
  </si>
  <si>
    <r>
      <t xml:space="preserve">לכן, ככל שמימוש זכות הקניה (מחיר המימוש) מותנה בתשלום </t>
    </r>
    <r>
      <rPr>
        <b/>
        <u/>
        <sz val="12"/>
        <color theme="1"/>
        <rFont val="David"/>
      </rPr>
      <t>נמוך יותר</t>
    </r>
    <r>
      <rPr>
        <b/>
        <sz val="12"/>
        <color theme="1"/>
        <rFont val="David"/>
      </rPr>
      <t xml:space="preserve"> - האופציה שווה יותר (הפרמיה בעדה גבוהה</t>
    </r>
  </si>
  <si>
    <t>ב. ככל שמחיר המימוש (x) של אופציית Call נמוך יותר, נצפה שמחירה (הפרמיה בעדה) תהיה נמוכה יותר</t>
  </si>
  <si>
    <t xml:space="preserve">מחיר המימוש: הסכום שמשלמים כדי לממש את האופציה. </t>
  </si>
  <si>
    <t xml:space="preserve">מחיר מימוש נמוך: צריך לשלם ״מעט״ כדי לממש את האופציה ולקבל את נכס הבסיס (כגון מניה). </t>
  </si>
  <si>
    <t>נניח לשם פשטות שיש שתי אופציות שנסחרות בשוק:</t>
  </si>
  <si>
    <t xml:space="preserve">אופציה ראשונה מאפשרת לי לקנות את המניה ב-800 ש״ח. </t>
  </si>
  <si>
    <t>אופציה שניה מאפשרת לי לקנות את המניה ב-200 ש״ח.</t>
  </si>
  <si>
    <t>על איזו אופציה נסכים לשלם יותר? על האופציה השניה: זו שמאפשרת לקנות את המניה בסכום נמוך יותר.</t>
  </si>
  <si>
    <t xml:space="preserve">ההגדרה של מחיר האופציה (הפרמיה) הוא למעשה השווי שלה, או כמה נסכים לשלם בעדה. </t>
  </si>
  <si>
    <t>ואם כך, במקרה זה: האופציה שמאפשרת לקנות את המניה ב-200 (מחיר מימוש נמוך יותר) ״שווה יותר״ = הפרמיה</t>
  </si>
  <si>
    <t xml:space="preserve">גבוהה יותר. </t>
  </si>
  <si>
    <t xml:space="preserve">ג. ההחלטה האם לממש / לא לממש אופציה (שנרכשה בעבר) במועד הפקיעה, תלויה בסכום הפרמיה ששולמה </t>
  </si>
  <si>
    <t xml:space="preserve">הטענה עוסקת במצב שבו כבר רכשנו את האופציה. ונניח ששילמנו עליה במועד הרכישה 50 ש״ח. </t>
  </si>
  <si>
    <t>האם אנחנו רוצים לממש?</t>
  </si>
  <si>
    <t xml:space="preserve">עוד נניח שהאופציה מאפשרת לקנות מניה, ומחיר המניה בשוק במועד האחרון למימוש 400 ש״ח. </t>
  </si>
  <si>
    <t>והאופציה דורשת תשלום תוספת מימוש של 380 ש״ח כדי לקבל את המניה.</t>
  </si>
  <si>
    <t xml:space="preserve">התשובה חיובית. </t>
  </si>
  <si>
    <t>אם לא נממש:</t>
  </si>
  <si>
    <t>הפסד הפרמיה</t>
  </si>
  <si>
    <t>אם נממש:</t>
  </si>
  <si>
    <t xml:space="preserve">400 - 380 = </t>
  </si>
  <si>
    <t>תזרים בפקיעה</t>
  </si>
  <si>
    <t>פרמיה</t>
  </si>
  <si>
    <t>הפסד</t>
  </si>
  <si>
    <t>או, במלים אחרות: הואיל והפרמיה כבר שולמה בעבר במועד ההתקשרות בעסקה, היא בגדר עלות שקועה ואיננה</t>
  </si>
  <si>
    <t xml:space="preserve">רלוונטית לקבלת החלטות. כל עוד התזרים במימוש / פקיעה חיובי, כדאי לממש. </t>
  </si>
  <si>
    <t>לא נכון.</t>
  </si>
  <si>
    <t>נכון.</t>
  </si>
  <si>
    <t xml:space="preserve">בשונה מההחלטה על עצם המימוש, שתלויה רק בתזרים בפקיעה CF (ההפרש בין המחיר בשוק למחיר המימוש, </t>
  </si>
  <si>
    <t>ללא התייחסות לפרמיה) הרי שבחישוב רווח / הפסד מהאופציה מתייחסים לכל שלבי העסקה ולכלל תזרימיה</t>
  </si>
  <si>
    <t xml:space="preserve">בשלבים אלו. </t>
  </si>
  <si>
    <t>בשפה פשוטה:</t>
  </si>
  <si>
    <t>ההחלטה אם לממש: בלתי תלויה בפרמיה</t>
  </si>
  <si>
    <t xml:space="preserve">הרווח / ההפסד הכולל: תלוי בפרמיה. </t>
  </si>
  <si>
    <t>תרגיל 2 - מושגי יסוד - סוגיית המכפילים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</si>
  <si>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</si>
  <si>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</si>
  <si>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</si>
  <si>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</si>
  <si>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</si>
  <si>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</si>
  <si>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</si>
  <si>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</si>
  <si>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</si>
  <si>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</si>
  <si>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</si>
  <si>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</si>
  <si>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</si>
  <si>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</si>
  <si>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</si>
  <si>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</si>
  <si>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</si>
  <si>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</si>
  <si>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</si>
  <si>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</si>
  <si>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</si>
  <si>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</si>
  <si>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</si>
  <si>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</si>
  <si>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</si>
  <si>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</si>
  <si>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</si>
  <si>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</si>
  <si>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</si>
  <si>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</si>
  <si>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</si>
  <si>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</si>
  <si>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</si>
  <si>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תרגיל 3 - הבחנה בין סוגי אופציות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</si>
  <si>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</si>
  <si>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</si>
  <si>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</si>
  <si>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</si>
  <si>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</si>
  <si>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</si>
  <si>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</si>
  <si>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</si>
  <si>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</si>
  <si>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</si>
  <si>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</si>
  <si>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</si>
  <si>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</si>
  <si>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</si>
  <si>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</si>
  <si>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</si>
  <si>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</si>
  <si>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</si>
  <si>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</si>
  <si>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</si>
  <si>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</si>
  <si>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</si>
  <si>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</si>
  <si>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</si>
  <si>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</si>
  <si>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</si>
  <si>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</si>
  <si>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</si>
  <si>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</si>
  <si>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</si>
  <si>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</si>
  <si>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</si>
  <si>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</si>
  <si>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>תרגיל 4 - תרגול נוסף put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</si>
  <si>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</si>
  <si>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</si>
  <si>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</si>
  <si>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</si>
  <si>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</si>
  <si>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</si>
  <si>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</si>
  <si>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</si>
  <si>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</si>
  <si>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</si>
  <si>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</si>
  <si>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</si>
  <si>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</si>
  <si>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</si>
  <si>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</si>
  <si>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</si>
  <si>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</si>
  <si>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</si>
  <si>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</si>
  <si>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</si>
  <si>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</si>
  <si>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</si>
  <si>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</si>
  <si>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</si>
  <si>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</si>
  <si>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</si>
  <si>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</si>
  <si>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</si>
  <si>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</si>
  <si>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</si>
  <si>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</si>
  <si>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</si>
  <si>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</si>
  <si>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</si>
  <si>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</si>
  <si>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</si>
  <si>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</si>
  <si>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</si>
  <si>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</si>
  <si>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</si>
  <si>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</si>
  <si>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</si>
  <si>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</si>
  <si>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</si>
  <si>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</si>
  <si>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</si>
  <si>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</si>
  <si>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</si>
  <si>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</si>
  <si>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</si>
  <si>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</si>
  <si>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</si>
  <si>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</si>
  <si>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</si>
  <si>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</si>
  <si>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</si>
  <si>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</si>
  <si>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</si>
  <si>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</si>
  <si>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</si>
  <si>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</si>
  <si>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</si>
  <si>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</si>
  <si>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</si>
  <si>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</si>
  <si>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</si>
  <si>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</si>
  <si>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</si>
  <si>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</si>
  <si>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</si>
  <si>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</si>
  <si>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</si>
  <si>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</si>
  <si>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</si>
  <si>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</si>
  <si>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</si>
  <si>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</si>
  <si>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</si>
  <si>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</si>
  <si>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</si>
  <si>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</si>
  <si>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</si>
  <si>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</si>
  <si>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</si>
  <si>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</si>
  <si>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</si>
  <si>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</si>
  <si>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</si>
  <si>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</si>
  <si>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</si>
  <si>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</si>
  <si>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</si>
  <si>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</si>
  <si>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</si>
  <si>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</si>
  <si>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</si>
  <si>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</si>
  <si>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</si>
  <si>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</si>
  <si>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</si>
  <si>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</si>
  <si>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</si>
  <si>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</si>
  <si>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</si>
  <si>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</si>
  <si>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</si>
  <si>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</si>
  <si>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</si>
  <si>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</si>
  <si>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</si>
  <si>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</si>
  <si>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</si>
  <si>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</si>
  <si>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</si>
  <si>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</si>
  <si>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</si>
  <si>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</si>
  <si>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</si>
  <si>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</si>
  <si>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</si>
  <si>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</si>
  <si>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</si>
  <si>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</si>
  <si>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</si>
  <si>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</si>
  <si>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</si>
  <si>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</si>
  <si>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</si>
  <si>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</si>
  <si>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</si>
  <si>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</si>
  <si>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</si>
  <si>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</si>
  <si>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</si>
  <si>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</si>
  <si>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</si>
  <si>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</si>
  <si>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</si>
  <si>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</si>
  <si>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</si>
  <si>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</si>
  <si>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</si>
  <si>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</si>
  <si>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</si>
  <si>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</si>
  <si>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</si>
  <si>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</si>
  <si>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</si>
  <si>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</si>
  <si>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</si>
  <si>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</si>
  <si>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</si>
  <si>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</si>
  <si>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</si>
  <si>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</si>
  <si>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</si>
  <si>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</si>
  <si>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</si>
  <si>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1 - קניית אוכף Long Straddle פתרון על ידי מרצה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</si>
  <si>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</si>
  <si>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</si>
  <si>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</si>
  <si>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</si>
  <si>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</si>
  <si>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</si>
  <si>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</si>
  <si>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</si>
  <si>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</si>
  <si>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</si>
  <si>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</si>
  <si>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</si>
  <si>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</si>
  <si>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</si>
  <si>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</si>
  <si>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</si>
  <si>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</si>
  <si>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</si>
  <si>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</si>
  <si>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</si>
  <si>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</si>
  <si>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</si>
  <si>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</si>
  <si>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</si>
  <si>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</si>
  <si>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</si>
  <si>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</si>
  <si>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</si>
  <si>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</si>
  <si>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</si>
  <si>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</si>
  <si>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</si>
  <si>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</si>
  <si>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</si>
  <si>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</si>
  <si>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</si>
  <si>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</si>
  <si>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</si>
  <si>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</si>
  <si>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</si>
  <si>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</si>
  <si>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</si>
  <si>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</si>
  <si>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</si>
  <si>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</si>
  <si>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</si>
  <si>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</si>
  <si>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</si>
  <si>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</si>
  <si>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</si>
  <si>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</si>
  <si>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</si>
  <si>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</si>
  <si>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</si>
  <si>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</si>
  <si>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</si>
  <si>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</si>
  <si>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</si>
  <si>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</si>
  <si>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</si>
  <si>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</si>
  <si>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</si>
  <si>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</si>
  <si>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</si>
  <si>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</si>
  <si>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</si>
  <si>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</si>
  <si>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</si>
  <si>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</si>
  <si>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</si>
  <si>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</si>
  <si>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</si>
  <si>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</si>
  <si>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</si>
  <si>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</si>
  <si>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</si>
  <si>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</si>
  <si>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</si>
  <si>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</si>
  <si>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</si>
  <si>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</si>
  <si>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</si>
  <si>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</si>
  <si>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</si>
  <si>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</si>
  <si>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</si>
  <si>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</si>
  <si>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</si>
  <si>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</si>
  <si>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</si>
  <si>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</si>
  <si>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</si>
  <si>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</si>
  <si>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</si>
  <si>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</si>
  <si>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</si>
  <si>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</si>
  <si>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</si>
  <si>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</si>
  <si>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</si>
  <si>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</si>
  <si>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</si>
  <si>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</si>
  <si>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</si>
  <si>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</si>
  <si>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</si>
  <si>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</si>
  <si>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</si>
  <si>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</si>
  <si>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</si>
  <si>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</si>
  <si>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</si>
  <si>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2 - קניית אוכף Long Straddle תרגול נוסף בשיתוף כיתה מהותי יותר :) - התחלנו בכיתה והשלמתי בהקלטה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</si>
  <si>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</si>
  <si>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</si>
  <si>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</si>
  <si>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</si>
  <si>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</si>
  <si>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</si>
  <si>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</si>
  <si>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</si>
  <si>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</si>
  <si>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</si>
  <si>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</si>
  <si>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</si>
  <si>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</si>
  <si>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</si>
  <si>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</si>
  <si>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</si>
  <si>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</si>
  <si>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</si>
  <si>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</si>
  <si>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</si>
  <si>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</si>
  <si>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</si>
  <si>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</si>
  <si>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</si>
  <si>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</si>
  <si>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</si>
  <si>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</si>
  <si>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</si>
  <si>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</si>
  <si>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</si>
  <si>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</si>
  <si>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</si>
  <si>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</si>
  <si>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</si>
  <si>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</si>
  <si>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</si>
  <si>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</si>
  <si>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</si>
  <si>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</si>
  <si>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</si>
  <si>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</si>
  <si>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</si>
  <si>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</si>
  <si>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</si>
  <si>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</si>
  <si>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</si>
  <si>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</si>
  <si>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</si>
  <si>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</si>
  <si>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</si>
  <si>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</si>
  <si>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</si>
  <si>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</si>
  <si>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</si>
  <si>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</si>
  <si>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</si>
  <si>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</si>
  <si>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</si>
  <si>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</si>
  <si>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</si>
  <si>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</si>
  <si>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</si>
  <si>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</si>
  <si>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</si>
  <si>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</si>
  <si>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</si>
  <si>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</si>
  <si>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</si>
  <si>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</si>
  <si>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</si>
  <si>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</si>
  <si>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</si>
  <si>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</si>
  <si>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</si>
  <si>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</si>
  <si>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</si>
  <si>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</si>
  <si>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</si>
  <si>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</si>
  <si>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</si>
  <si>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</si>
  <si>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</si>
  <si>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</si>
  <si>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</si>
  <si>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</si>
  <si>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</si>
  <si>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</si>
  <si>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</si>
  <si>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</si>
  <si>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</si>
  <si>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</si>
  <si>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</si>
  <si>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</si>
  <si>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</si>
  <si>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</si>
  <si>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</si>
  <si>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</si>
  <si>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</si>
  <si>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</si>
  <si>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</si>
  <si>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</si>
  <si>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</si>
  <si>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</si>
  <si>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</si>
  <si>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</si>
  <si>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</si>
  <si>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</si>
  <si>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</si>
  <si>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</si>
  <si>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</si>
  <si>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</si>
  <si>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</si>
  <si>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</si>
  <si>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</si>
  <si>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</si>
  <si>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</si>
  <si>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</si>
  <si>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</si>
  <si>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</si>
  <si>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</si>
  <si>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</si>
  <si>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</si>
  <si>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</si>
  <si>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</si>
  <si>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</si>
  <si>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</si>
  <si>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</si>
  <si>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</si>
  <si>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</si>
  <si>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</si>
  <si>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</si>
  <si>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</si>
  <si>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</si>
  <si>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</si>
  <si>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</si>
  <si>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</si>
  <si>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</si>
  <si>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</si>
  <si>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</si>
  <si>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</si>
  <si>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</si>
  <si>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</si>
  <si>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</si>
  <si>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</si>
  <si>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</si>
  <si>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</si>
  <si>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</si>
  <si>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</si>
  <si>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</si>
  <si>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</si>
  <si>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</si>
  <si>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</si>
  <si>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</si>
  <si>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</si>
  <si>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</si>
  <si>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</si>
  <si>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</si>
  <si>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</si>
  <si>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</si>
  <si>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</si>
  <si>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</si>
  <si>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</si>
  <si>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</si>
  <si>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</si>
  <si>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</si>
  <si>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</si>
  <si>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</si>
  <si>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</si>
  <si>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היום נציג את האסטרטגיה האחרונה המחייבת בקורסנו: אסטרטגיית מרווח יורד.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</si>
  <si>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</si>
  <si>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</si>
  <si>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</si>
  <si>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לקנות Put שמחיר המימוש שלו גדול או שווה ממחיר השוק של המניה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</si>
  <si>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</si>
  <si>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</si>
  <si>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</si>
  <si>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</si>
  <si>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</si>
  <si>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</si>
  <si>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</si>
  <si>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</si>
  <si>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</si>
  <si>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</si>
  <si>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</si>
  <si>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</si>
  <si>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</si>
  <si>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</si>
  <si>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</si>
  <si>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</si>
  <si>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</si>
  <si>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</si>
  <si>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</si>
  <si>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</si>
  <si>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</si>
  <si>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</si>
  <si>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</si>
  <si>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</si>
  <si>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</si>
  <si>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</si>
  <si>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</si>
  <si>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</si>
  <si>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</si>
  <si>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</si>
  <si>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</si>
  <si>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</si>
  <si>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</si>
  <si>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</si>
  <si>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</si>
  <si>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</si>
  <si>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</si>
  <si>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</si>
  <si>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</si>
  <si>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</si>
  <si>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</si>
  <si>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</si>
  <si>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</si>
  <si>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</si>
  <si>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</si>
  <si>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</si>
  <si>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</si>
  <si>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</si>
  <si>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</si>
  <si>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</si>
  <si>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</si>
  <si>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</si>
  <si>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</si>
  <si>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</si>
  <si>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</si>
  <si>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</si>
  <si>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</si>
  <si>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</si>
  <si>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</si>
  <si>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</si>
  <si>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</si>
  <si>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</si>
  <si>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אופציות ומכשירים פיננסיים מתוחכמים - הרצאה 9 - אינטגרציה ותרגול ברמת בחינה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</si>
  <si>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</si>
  <si>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</si>
  <si>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</si>
  <si>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</si>
  <si>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</si>
  <si>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</si>
  <si>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</si>
  <si>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</si>
  <si>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</si>
  <si>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</si>
  <si>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</si>
  <si>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</si>
  <si>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</si>
  <si>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</si>
  <si>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</si>
  <si>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</si>
  <si>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</si>
  <si>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הצגנו במפגש 8 אסטרטגיה שנקראת ״מרווח יורד״. אסטרטגיה זו היתה מורכבת משילובי אופציות, שתכליתה היתה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</si>
  <si>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</si>
  <si>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</si>
  <si>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</si>
  <si>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</si>
  <si>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מפגש 8:</t>
  </si>
  <si>
    <t>מפגש 9: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</si>
  <si>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</si>
  <si>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</si>
  <si>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</si>
  <si>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</si>
  <si>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</si>
  <si>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</si>
  <si>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</si>
  <si>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</si>
  <si>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</si>
  <si>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</si>
  <si>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</si>
  <si>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</si>
  <si>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</si>
  <si>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</si>
  <si>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</si>
  <si>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</si>
  <si>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</si>
  <si>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</si>
  <si>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</si>
  <si>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</si>
  <si>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</si>
  <si>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</si>
  <si>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</si>
  <si>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</si>
  <si>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</si>
  <si>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</si>
  <si>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</si>
  <si>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</si>
  <si>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</si>
  <si>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</si>
  <si>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</si>
  <si>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</si>
  <si>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</si>
  <si>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</si>
  <si>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</si>
  <si>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התחלה</t>
  </si>
  <si>
    <t>סיום</t>
  </si>
  <si>
    <t>הערות</t>
  </si>
  <si>
    <t>היום - תחילת החזרה</t>
  </si>
  <si>
    <t>חזרה (א-סינכרוני, אבל תהיה הזדמנות להצטרף למי שיכול/ה או רוצה).</t>
  </si>
  <si>
    <t>חזרה - סינכרוני עם הקלטה</t>
  </si>
  <si>
    <t>הבחינה עצמה</t>
  </si>
  <si>
    <t>יועלו בהקדם לאתר, תוכלו ליצור עמו קשר במידה וישנה בעיה כלשהי או נדרשים מופעים נוספים.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</si>
  <si>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</si>
  <si>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</si>
  <si>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</si>
  <si>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</si>
  <si>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</si>
  <si>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מבנה הבחינה:</t>
  </si>
  <si>
    <t>כמובן מותר בשימוש גם מחשבון.</t>
  </si>
  <si>
    <t xml:space="preserve">פרסום מערך תגבורים סיוע ומשאבים - להלן. </t>
  </si>
  <si>
    <t>ראו להלן.</t>
  </si>
  <si>
    <t>אופציות ומכשירים פיננסיים מתוחכמים - הרצאה 10 - היערכות לבחינה</t>
  </si>
  <si>
    <t>רמת קושי (סובייקטיבי)</t>
  </si>
  <si>
    <t>רמה 1: מה אתה צוחק עליי?</t>
  </si>
  <si>
    <t>רמה 5: רק מאי עברי פותרת</t>
  </si>
  <si>
    <t>אסטרטגיות עירומות (אופציה אחת בכל פעם), רציונל, סיכונים ומושגים.</t>
  </si>
  <si>
    <t>שעות קבלה עם המתרגל (אופק טארט-טאטן):</t>
  </si>
  <si>
    <t>מארג סיוע (כל המפגשים גם מוקלטים כמובן) - נמתין לאישור סופי מהמזכירות אך זה לגמרי התכנון:</t>
  </si>
  <si>
    <r>
      <t xml:space="preserve">מבחן ידני </t>
    </r>
    <r>
      <rPr>
        <b/>
        <sz val="12"/>
        <rFont val="David"/>
      </rPr>
      <t>בקמפוס</t>
    </r>
    <r>
      <rPr>
        <sz val="12"/>
        <rFont val="David"/>
      </rPr>
      <t>. כמובן שלאור הביצוע הידני ניתן פרק זמן ראוי לפתרון ראו לעיל.</t>
    </r>
  </si>
  <si>
    <r>
      <t xml:space="preserve">אופן מענה לשאלות בזמן הבחינה: </t>
    </r>
    <r>
      <rPr>
        <b/>
        <sz val="12"/>
        <rFont val="David"/>
      </rPr>
      <t>הוצאת פתקים</t>
    </r>
    <r>
      <rPr>
        <sz val="12"/>
        <rFont val="David"/>
      </rPr>
      <t>.</t>
    </r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</si>
  <si>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</si>
  <si>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</si>
  <si>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</si>
  <si>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</si>
  <si>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</si>
  <si>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</si>
  <si>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</si>
  <si>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</si>
  <si>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</si>
  <si>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</si>
  <si>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</si>
  <si>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</si>
  <si>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</si>
  <si>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</si>
  <si>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</si>
  <si>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</si>
  <si>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</si>
  <si>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</si>
  <si>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</si>
  <si>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</si>
  <si>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</si>
  <si>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</si>
  <si>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</si>
  <si>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</si>
  <si>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</si>
  <si>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</si>
  <si>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</si>
  <si>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r>
      <t xml:space="preserve">הרווח עולה ככל ש -st עולה, </t>
    </r>
    <r>
      <rPr>
        <b/>
        <sz val="12"/>
        <color theme="1"/>
        <rFont val="David"/>
      </rPr>
      <t>ת רוו</t>
    </r>
  </si>
  <si>
    <t>ראשית, מספר הבהרות:</t>
  </si>
  <si>
    <t>אך הואיל ולא תורגל הסמסטר, ואנחנו כבר קרובים מדי למבחן, מרגיש לי לא שייך. יובהר: כן צריך לדעת מכפילים,</t>
  </si>
  <si>
    <t>אבל רק לטובת יישומים מתמטיים, חישובי רווח / הפסד, ולא לטובת תרשימים. כלל התרשימים אותם תתבקשו</t>
  </si>
  <si>
    <t xml:space="preserve">לבצע יהיו במקרה הכללי (מכפיל = 1). </t>
  </si>
  <si>
    <t>ב. בכל אחת מבין 5 השאלות יהיו בין 3 ל-4 נדרשים. יכולה להיות שאלה אחת עם 5 נדרשים, אבל במקרה כזה הנדרשים</t>
  </si>
  <si>
    <t xml:space="preserve">יהיו מאד מאד קצרים ומהירים לביצוע. </t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</si>
  <si>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</si>
  <si>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</si>
  <si>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</si>
  <si>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</si>
  <si>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</si>
  <si>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</si>
  <si>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</si>
  <si>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</si>
  <si>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</si>
  <si>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</si>
  <si>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</si>
  <si>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</si>
  <si>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</si>
  <si>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</si>
  <si>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</si>
  <si>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</si>
  <si>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</si>
  <si>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</si>
  <si>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</si>
  <si>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</si>
  <si>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</si>
  <si>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</si>
  <si>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</si>
  <si>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</si>
  <si>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</si>
  <si>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</si>
  <si>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</si>
  <si>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</si>
  <si>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</si>
  <si>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</si>
  <si>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</si>
  <si>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</si>
  <si>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</si>
  <si>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</si>
  <si>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</si>
  <si>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</si>
  <si>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</si>
  <si>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</si>
  <si>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</si>
  <si>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</si>
  <si>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</si>
  <si>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</si>
  <si>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</si>
  <si>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</si>
  <si>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</si>
  <si>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</si>
  <si>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</si>
  <si>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</si>
  <si>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</si>
  <si>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</si>
  <si>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</si>
  <si>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</si>
  <si>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</si>
  <si>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</si>
  <si>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</si>
  <si>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</si>
  <si>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</si>
  <si>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</si>
  <si>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</si>
  <si>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אופציות ומכשירים פיננסיים מתוחכמים - הרצאות 11,12 - היערכות לבחינה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</si>
  <si>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</si>
  <si>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</si>
  <si>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</si>
  <si>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</si>
  <si>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</si>
  <si>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</si>
  <si>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</si>
  <si>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</si>
  <si>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</si>
  <si>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</si>
  <si>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</si>
  <si>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</si>
  <si>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</si>
  <si>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</si>
  <si>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</si>
  <si>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</si>
  <si>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</si>
  <si>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</si>
  <si>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</si>
  <si>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</si>
  <si>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</si>
  <si>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</si>
  <si>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אופציות ומכשירים פיננסיים מתוחכמים - הרצאה 13 - היערכות לבחינה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</si>
  <si>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</si>
  <si>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</si>
  <si>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</si>
  <si>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</si>
  <si>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</si>
  <si>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</si>
  <si>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</si>
  <si>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</si>
  <si>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r>
      <t xml:space="preserve">א. בבחינה לא תתבקשו לבצע הצגה גרפית של אופציות </t>
    </r>
    <r>
      <rPr>
        <b/>
        <sz val="12"/>
        <color theme="1"/>
        <rFont val="David"/>
      </rPr>
      <t>עם סוגיית המכפילים</t>
    </r>
    <r>
      <rPr>
        <sz val="12"/>
        <color theme="1"/>
        <rFont val="David"/>
      </rPr>
      <t>. במקור חשבתי לתת (זה לא מאד מורכב)</t>
    </r>
  </si>
  <si>
    <t>האם צריך לדעת מכפילים?</t>
  </si>
  <si>
    <t>האם צריך לדעת גרפים?</t>
  </si>
  <si>
    <t>האם צריך לדעת גרפים עבור מכפילים שונים מ-1?</t>
  </si>
  <si>
    <t xml:space="preserve">בקיצור: הדיון בנושאים אלו יהיה חופף למה שבוצע ותורגל לאורך כל הסמסטר. </t>
  </si>
  <si>
    <t xml:space="preserve">בקיצור: אורך המבחן הוגן מאד ביחס למשך המוקצב לו (3 שעות). 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</si>
  <si>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</si>
  <si>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</si>
  <si>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</si>
  <si>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</si>
  <si>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</si>
  <si>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</si>
  <si>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</si>
  <si>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</si>
  <si>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</si>
  <si>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</si>
  <si>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</si>
  <si>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</si>
  <si>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</si>
  <si>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</si>
  <si>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</si>
  <si>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</si>
  <si>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</si>
  <si>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</si>
  <si>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</si>
  <si>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</si>
  <si>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</si>
  <si>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</si>
  <si>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</si>
  <si>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</si>
  <si>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</si>
  <si>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</si>
  <si>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</si>
  <si>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</si>
  <si>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</si>
  <si>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</si>
  <si>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</si>
  <si>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</si>
  <si>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</si>
  <si>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</si>
  <si>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</si>
  <si>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</si>
  <si>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</si>
  <si>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</si>
  <si>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</si>
  <si>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</si>
  <si>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</si>
  <si>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</si>
  <si>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</si>
  <si>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</si>
  <si>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</si>
  <si>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</si>
  <si>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</si>
  <si>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</si>
  <si>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</si>
  <si>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</si>
  <si>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</si>
  <si>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</si>
  <si>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</si>
  <si>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</si>
  <si>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</si>
  <si>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</si>
  <si>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</si>
  <si>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</si>
  <si>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</si>
  <si>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</si>
  <si>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</si>
  <si>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</si>
  <si>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</si>
  <si>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</si>
  <si>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</si>
  <si>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</si>
  <si>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</si>
  <si>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</si>
  <si>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</si>
  <si>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</si>
  <si>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</si>
  <si>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</si>
  <si>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</si>
  <si>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</si>
  <si>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</si>
  <si>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</si>
  <si>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</si>
  <si>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</si>
  <si>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</si>
  <si>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</si>
  <si>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</si>
  <si>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</si>
  <si>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</si>
  <si>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</si>
  <si>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</si>
  <si>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</si>
  <si>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</si>
  <si>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</si>
  <si>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</si>
  <si>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</si>
  <si>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</si>
  <si>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</si>
  <si>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</si>
  <si>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</si>
  <si>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</si>
  <si>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</si>
  <si>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</si>
  <si>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</si>
  <si>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</si>
  <si>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</si>
  <si>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</si>
  <si>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</si>
  <si>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</si>
  <si>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</si>
  <si>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</si>
  <si>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</si>
  <si>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</si>
  <si>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</si>
  <si>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</si>
  <si>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</si>
  <si>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</si>
  <si>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</si>
  <si>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</si>
  <si>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</si>
  <si>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</si>
  <si>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</si>
  <si>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</si>
  <si>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</si>
  <si>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</si>
  <si>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</si>
  <si>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</si>
  <si>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</si>
  <si>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</si>
  <si>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</si>
  <si>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</si>
  <si>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</si>
  <si>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</si>
  <si>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</si>
  <si>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</si>
  <si>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</si>
  <si>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</si>
  <si>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</si>
  <si>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</si>
  <si>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</si>
  <si>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</si>
  <si>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</si>
  <si>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</si>
  <si>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</si>
  <si>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</si>
  <si>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</si>
  <si>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</si>
  <si>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</si>
  <si>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</si>
  <si>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</si>
  <si>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</si>
  <si>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</si>
  <si>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</si>
  <si>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</si>
  <si>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</si>
  <si>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</si>
  <si>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</si>
  <si>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</si>
  <si>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</si>
  <si>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</si>
  <si>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</si>
  <si>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עד כאן הגענו במפגש 9. להלן תרגילים נוספים (הכל רלוונטי)</t>
  </si>
  <si>
    <t xml:space="preserve">מטרת הרצאה קצרה זו היא לפתור מספר שאלות יותר מורכבות מבחינה לדוגמא (לא בחינה לדוגמא שלמה כמובן, </t>
  </si>
  <si>
    <t xml:space="preserve">לאור משך המפגש). 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</si>
  <si>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</si>
  <si>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</si>
  <si>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</si>
  <si>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</si>
  <si>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</si>
  <si>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</si>
  <si>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</si>
  <si>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</si>
  <si>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</si>
  <si>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</si>
  <si>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</si>
  <si>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</si>
  <si>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</si>
  <si>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</si>
  <si>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</si>
  <si>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</si>
  <si>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</si>
  <si>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</si>
  <si>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</si>
  <si>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</si>
  <si>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</si>
  <si>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</si>
  <si>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</si>
  <si>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</si>
  <si>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</si>
  <si>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</si>
  <si>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</si>
  <si>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</si>
  <si>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</si>
  <si>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</si>
  <si>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 xml:space="preserve">גם מפגש זה מוקלט ולא לייב, לבקשתכם, ואני פותר בו רק את השאלות ה״מורכבות״ יותר.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</si>
  <si>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</si>
  <si>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</si>
  <si>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</si>
  <si>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</si>
  <si>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</si>
  <si>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</si>
  <si>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</si>
  <si>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</si>
  <si>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</si>
  <si>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</si>
  <si>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</si>
  <si>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</si>
  <si>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</si>
  <si>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</si>
  <si>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</si>
  <si>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</si>
  <si>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</si>
  <si>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</si>
  <si>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</si>
  <si>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</si>
  <si>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</si>
  <si>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</si>
  <si>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</si>
  <si>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</si>
  <si>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</si>
  <si>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</si>
  <si>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</si>
  <si>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</si>
  <si>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</si>
  <si>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</si>
  <si>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</si>
  <si>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</si>
  <si>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</si>
  <si>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</si>
  <si>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</si>
  <si>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</si>
  <si>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</si>
  <si>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</si>
  <si>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</si>
  <si>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</si>
  <si>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</si>
  <si>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</si>
  <si>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</si>
  <si>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</si>
  <si>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</si>
  <si>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</si>
  <si>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</si>
  <si>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</si>
  <si>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</si>
  <si>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</si>
  <si>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</si>
  <si>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</si>
  <si>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</si>
  <si>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</si>
  <si>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</si>
  <si>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</si>
  <si>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</si>
  <si>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</si>
  <si>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</si>
  <si>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</si>
  <si>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</si>
  <si>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</si>
  <si>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</si>
  <si>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</si>
  <si>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</si>
  <si>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</si>
  <si>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</si>
  <si>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</si>
  <si>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</si>
  <si>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</si>
  <si>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</si>
  <si>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</si>
  <si>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</si>
  <si>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</si>
  <si>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</si>
  <si>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</si>
  <si>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</si>
  <si>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</si>
  <si>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</si>
  <si>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</si>
  <si>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</si>
  <si>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</si>
  <si>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</si>
  <si>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</si>
  <si>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</si>
  <si>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</si>
  <si>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</si>
  <si>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</si>
  <si>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</si>
  <si>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</si>
  <si>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</si>
  <si>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</si>
  <si>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</si>
  <si>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</si>
  <si>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</si>
  <si>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</si>
  <si>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</si>
  <si>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</si>
  <si>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</si>
  <si>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</si>
  <si>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</si>
  <si>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</si>
  <si>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</si>
  <si>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</si>
  <si>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</si>
  <si>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</si>
  <si>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</si>
  <si>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</si>
  <si>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</si>
  <si>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</si>
  <si>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</si>
  <si>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</si>
  <si>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</si>
  <si>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</si>
  <si>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</si>
  <si>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</si>
  <si>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</si>
  <si>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</si>
  <si>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</si>
  <si>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</si>
  <si>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</si>
  <si>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</si>
  <si>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</si>
  <si>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</si>
  <si>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</si>
  <si>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</si>
  <si>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</si>
  <si>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</si>
  <si>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</si>
  <si>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</si>
  <si>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</si>
  <si>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</si>
  <si>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</si>
  <si>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</si>
  <si>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</si>
  <si>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</si>
  <si>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</si>
  <si>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</si>
  <si>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</si>
  <si>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</si>
  <si>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</si>
  <si>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</si>
  <si>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</si>
  <si>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</si>
  <si>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</si>
  <si>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</si>
  <si>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</si>
  <si>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</si>
  <si>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</si>
  <si>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</si>
  <si>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</si>
  <si>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</si>
  <si>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</si>
  <si>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</si>
  <si>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</si>
  <si>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</si>
  <si>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</si>
  <si>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</si>
  <si>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</si>
  <si>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</si>
  <si>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</si>
  <si>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</si>
  <si>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</si>
  <si>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</si>
  <si>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</si>
  <si>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</si>
  <si>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</si>
  <si>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</si>
  <si>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</si>
  <si>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</si>
  <si>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</si>
  <si>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</si>
  <si>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</si>
  <si>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</si>
  <si>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</si>
  <si>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</si>
  <si>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</si>
  <si>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</si>
  <si>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</si>
  <si>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</si>
  <si>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</si>
  <si>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</si>
  <si>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</si>
  <si>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</si>
  <si>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</si>
  <si>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</si>
  <si>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</si>
  <si>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</si>
  <si>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</si>
  <si>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</si>
  <si>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</si>
  <si>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</si>
  <si>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</si>
  <si>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</si>
  <si>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</si>
  <si>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</si>
  <si>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</si>
  <si>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</si>
  <si>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</si>
  <si>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</si>
  <si>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</si>
  <si>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</si>
  <si>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</si>
  <si>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</si>
  <si>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</si>
  <si>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</si>
  <si>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</si>
  <si>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</si>
  <si>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</si>
  <si>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</si>
  <si>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</si>
  <si>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</si>
  <si>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</si>
  <si>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</si>
  <si>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</si>
  <si>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</si>
  <si>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</si>
  <si>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</si>
  <si>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</si>
  <si>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</si>
  <si>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</si>
  <si>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</si>
  <si>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</si>
  <si>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</si>
  <si>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</si>
  <si>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</si>
  <si>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</si>
  <si>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</si>
  <si>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</si>
  <si>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</si>
  <si>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</si>
  <si>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</si>
  <si>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</si>
  <si>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טרם עודכן</t>
  </si>
  <si>
    <t>אופציות ומכשירים פיננסיים מתוחכמים - הרצאה 4 - סיכום בסיסי, כתיבת Put, מכפילים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</si>
  <si>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</si>
  <si>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</si>
  <si>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</si>
  <si>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עד כאן מפגש 4! איזה כיף. להלן תרגילים לתרגול נוסף למעוניינים והמעוניינות.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</si>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</sst>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2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sz val="8"/>
      <name val="Calibri"/>
      <family val="2"/>
      <scheme val="minor"/>
    </font>
    <font>
      <b/>
      <sz val="12"/>
      <color rgb="FF00B0F0"/>
      <name val="David"/>
    </font>
    <font>
      <b/>
      <sz val="12"/>
      <color rgb="FF0070C0"/>
      <name val="David"/>
    </font>
    <font>
      <b/>
      <sz val="12"/>
      <color rgb="FFFF0000"/>
      <name val="Calibri"/>
      <family val="2"/>
      <scheme val="minor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sz val="16"/>
      <color theme="1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39" fillId="0" borderId="0" applyFont="0" applyFill="0" applyBorder="0" applyAlignment="0" applyProtection="0"/>
  </cellStyleXfs>
  <cellXfs count="365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20" fillId="0" borderId="0" xfId="0" applyFont="1"/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21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3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9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4" fillId="0" borderId="0" xfId="0" applyFont="1"/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9" fillId="13" borderId="9" xfId="0" applyFont="1" applyFill="1" applyBorder="1" applyAlignment="1">
      <alignment horizontal="center"/>
    </xf>
    <xf numFmtId="0" fontId="9" fillId="13" borderId="11" xfId="0" applyFont="1" applyFill="1" applyBorder="1" applyAlignment="1">
      <alignment horizontal="center"/>
    </xf>
    <xf numFmtId="0" fontId="25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6" fillId="0" borderId="0" xfId="0" applyFont="1"/>
    <xf numFmtId="0" fontId="27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8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5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6" fillId="0" borderId="0" xfId="0" applyFont="1" applyAlignment="1">
      <alignment readingOrder="2"/>
    </xf>
    <xf numFmtId="0" fontId="29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8" fillId="0" borderId="0" xfId="0" applyFont="1"/>
    <xf numFmtId="0" fontId="18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30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31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32" fillId="0" borderId="0" xfId="0" applyFont="1"/>
    <xf numFmtId="0" fontId="32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7" fillId="0" borderId="10" xfId="0" applyFont="1" applyBorder="1"/>
    <xf numFmtId="0" fontId="13" fillId="0" borderId="0" xfId="0" applyFont="1"/>
    <xf numFmtId="0" fontId="29" fillId="0" borderId="0" xfId="0" applyFont="1"/>
    <xf numFmtId="0" fontId="37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19" borderId="0" xfId="0" applyFont="1" applyFill="1" applyAlignment="1">
      <alignment horizontal="center"/>
    </xf>
    <xf numFmtId="0" fontId="1" fillId="19" borderId="18" xfId="0" applyFont="1" applyFill="1" applyBorder="1" applyAlignment="1">
      <alignment horizontal="center"/>
    </xf>
    <xf numFmtId="0" fontId="1" fillId="19" borderId="23" xfId="0" applyFont="1" applyFill="1" applyBorder="1" applyAlignment="1">
      <alignment horizontal="center"/>
    </xf>
    <xf numFmtId="0" fontId="1" fillId="19" borderId="19" xfId="0" applyFont="1" applyFill="1" applyBorder="1" applyAlignment="1">
      <alignment horizontal="center"/>
    </xf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4" fillId="0" borderId="20" xfId="0" applyFont="1" applyBorder="1"/>
    <xf numFmtId="14" fontId="1" fillId="0" borderId="9" xfId="0" applyNumberFormat="1" applyFont="1" applyBorder="1"/>
    <xf numFmtId="20" fontId="1" fillId="0" borderId="0" xfId="0" applyNumberFormat="1" applyFont="1"/>
    <xf numFmtId="0" fontId="5" fillId="0" borderId="7" xfId="0" applyFont="1" applyBorder="1"/>
    <xf numFmtId="0" fontId="5" fillId="0" borderId="12" xfId="0" applyFont="1" applyBorder="1"/>
    <xf numFmtId="14" fontId="1" fillId="2" borderId="11" xfId="0" applyNumberFormat="1" applyFont="1" applyFill="1" applyBorder="1"/>
    <xf numFmtId="20" fontId="1" fillId="2" borderId="12" xfId="0" applyNumberFormat="1" applyFont="1" applyFill="1" applyBorder="1"/>
    <xf numFmtId="0" fontId="1" fillId="2" borderId="12" xfId="0" applyFont="1" applyFill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8" fillId="0" borderId="3" xfId="0" applyFont="1" applyBorder="1"/>
    <xf numFmtId="0" fontId="38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14" fontId="1" fillId="0" borderId="8" xfId="0" applyNumberFormat="1" applyFont="1" applyBorder="1"/>
    <xf numFmtId="14" fontId="1" fillId="0" borderId="10" xfId="0" applyNumberFormat="1" applyFont="1" applyBorder="1"/>
    <xf numFmtId="14" fontId="1" fillId="0" borderId="13" xfId="0" applyNumberFormat="1" applyFont="1" applyBorder="1"/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8" fillId="0" borderId="7" xfId="0" applyFont="1" applyBorder="1"/>
    <xf numFmtId="0" fontId="38" fillId="0" borderId="8" xfId="0" applyFont="1" applyBorder="1"/>
    <xf numFmtId="0" fontId="38" fillId="0" borderId="12" xfId="0" applyFont="1" applyBorder="1"/>
    <xf numFmtId="0" fontId="38" fillId="0" borderId="13" xfId="0" applyFont="1" applyBorder="1"/>
    <xf numFmtId="0" fontId="38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7" fillId="0" borderId="0" xfId="0" applyFont="1" applyAlignment="1">
      <alignment horizontal="center"/>
    </xf>
    <xf numFmtId="0" fontId="40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41" fillId="0" borderId="2" xfId="0" applyFont="1" applyBorder="1"/>
    <xf numFmtId="0" fontId="11" fillId="9" borderId="0" xfId="0" applyFont="1" applyFill="1"/>
    <xf numFmtId="0" fontId="40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9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7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8'!$F$176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8'!$A$177:$A$187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8'!$F$177:$F$187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7FF9-A44E-A86F-0EB4F17D38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8'!$F$130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8'!$A$131:$A$141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8'!$F$131:$F$141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DBC-154E-BA2E-CB846CB095E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15631672" y="965186"/>
          <a:ext cx="1785059" cy="1313220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19225382" y="5399725"/>
          <a:ext cx="1609811" cy="1182739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15324690" y="5043633"/>
          <a:ext cx="1782904" cy="1313220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12493292" y="16582388"/>
          <a:ext cx="2710210" cy="1527197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11668022" y="21827442"/>
          <a:ext cx="2710209" cy="1527197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11668022" y="47044049"/>
          <a:ext cx="2710209" cy="1527197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129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4A24301-17F0-FA40-A01C-269EE9BFC4AE}"/>
                </a:ext>
              </a:extLst>
            </xdr:cNvPr>
            <xdr:cNvSpPr txBox="1"/>
          </xdr:nvSpPr>
          <xdr:spPr>
            <a:xfrm>
              <a:off x="13517733831" y="572662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132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2B1878BE-ED0B-804D-AF63-3EC78D357666}"/>
                </a:ext>
              </a:extLst>
            </xdr:cNvPr>
            <xdr:cNvSpPr txBox="1"/>
          </xdr:nvSpPr>
          <xdr:spPr>
            <a:xfrm>
              <a:off x="13518250623" y="579071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486</xdr:row>
      <xdr:rowOff>72412</xdr:rowOff>
    </xdr:from>
    <xdr:to>
      <xdr:col>4</xdr:col>
      <xdr:colOff>473465</xdr:colOff>
      <xdr:row>499</xdr:row>
      <xdr:rowOff>122544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1E78ED2-56FB-C845-AB48-3D2137F65C52}"/>
            </a:ext>
          </a:extLst>
        </xdr:cNvPr>
        <xdr:cNvCxnSpPr/>
      </xdr:nvCxnSpPr>
      <xdr:spPr>
        <a:xfrm flipV="1">
          <a:off x="13521356235" y="74672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496</xdr:row>
      <xdr:rowOff>55702</xdr:rowOff>
    </xdr:from>
    <xdr:to>
      <xdr:col>4</xdr:col>
      <xdr:colOff>612720</xdr:colOff>
      <xdr:row>496</xdr:row>
      <xdr:rowOff>61272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80A48BC-9EF8-6544-87CE-6234BBE67F82}"/>
            </a:ext>
          </a:extLst>
        </xdr:cNvPr>
        <xdr:cNvCxnSpPr/>
      </xdr:nvCxnSpPr>
      <xdr:spPr>
        <a:xfrm flipV="1">
          <a:off x="13521216980" y="76687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496</xdr:row>
      <xdr:rowOff>89122</xdr:rowOff>
    </xdr:from>
    <xdr:to>
      <xdr:col>4</xdr:col>
      <xdr:colOff>467895</xdr:colOff>
      <xdr:row>496</xdr:row>
      <xdr:rowOff>94692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AD3A99C-022B-CB46-BE2C-FC76166C11AF}"/>
            </a:ext>
          </a:extLst>
        </xdr:cNvPr>
        <xdr:cNvCxnSpPr/>
      </xdr:nvCxnSpPr>
      <xdr:spPr>
        <a:xfrm flipV="1">
          <a:off x="13521361805" y="76720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496</xdr:row>
      <xdr:rowOff>94692</xdr:rowOff>
    </xdr:from>
    <xdr:to>
      <xdr:col>3</xdr:col>
      <xdr:colOff>451185</xdr:colOff>
      <xdr:row>501</xdr:row>
      <xdr:rowOff>167105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E2CBFA8-434B-8545-B32A-2F5DF04F2F8D}"/>
            </a:ext>
          </a:extLst>
        </xdr:cNvPr>
        <xdr:cNvCxnSpPr/>
      </xdr:nvCxnSpPr>
      <xdr:spPr>
        <a:xfrm>
          <a:off x="13522318315" y="76726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493</xdr:row>
      <xdr:rowOff>77982</xdr:rowOff>
    </xdr:from>
    <xdr:to>
      <xdr:col>4</xdr:col>
      <xdr:colOff>467895</xdr:colOff>
      <xdr:row>493</xdr:row>
      <xdr:rowOff>83552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842D6D7-DD56-7248-BD58-73022DF56EA8}"/>
            </a:ext>
          </a:extLst>
        </xdr:cNvPr>
        <xdr:cNvCxnSpPr/>
      </xdr:nvCxnSpPr>
      <xdr:spPr>
        <a:xfrm flipV="1">
          <a:off x="13521361805" y="76100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493</xdr:row>
      <xdr:rowOff>72411</xdr:rowOff>
    </xdr:from>
    <xdr:to>
      <xdr:col>3</xdr:col>
      <xdr:colOff>440045</xdr:colOff>
      <xdr:row>498</xdr:row>
      <xdr:rowOff>144824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BBD81CC8-AE0F-194E-9E33-CED3096FF9B2}"/>
            </a:ext>
          </a:extLst>
        </xdr:cNvPr>
        <xdr:cNvCxnSpPr/>
      </xdr:nvCxnSpPr>
      <xdr:spPr>
        <a:xfrm>
          <a:off x="13522329455" y="76094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546</xdr:row>
      <xdr:rowOff>72412</xdr:rowOff>
    </xdr:from>
    <xdr:to>
      <xdr:col>4</xdr:col>
      <xdr:colOff>473465</xdr:colOff>
      <xdr:row>559</xdr:row>
      <xdr:rowOff>122544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333499F-634A-1A4F-AE58-2410597BB0A5}"/>
            </a:ext>
          </a:extLst>
        </xdr:cNvPr>
        <xdr:cNvCxnSpPr/>
      </xdr:nvCxnSpPr>
      <xdr:spPr>
        <a:xfrm flipV="1">
          <a:off x="13521356235" y="86864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556</xdr:row>
      <xdr:rowOff>55702</xdr:rowOff>
    </xdr:from>
    <xdr:to>
      <xdr:col>4</xdr:col>
      <xdr:colOff>612720</xdr:colOff>
      <xdr:row>556</xdr:row>
      <xdr:rowOff>61272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783AA73E-D54B-4348-99FB-A3CBEE2C54E9}"/>
            </a:ext>
          </a:extLst>
        </xdr:cNvPr>
        <xdr:cNvCxnSpPr/>
      </xdr:nvCxnSpPr>
      <xdr:spPr>
        <a:xfrm flipV="1">
          <a:off x="13521216980" y="88879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553</xdr:row>
      <xdr:rowOff>83552</xdr:rowOff>
    </xdr:from>
    <xdr:to>
      <xdr:col>4</xdr:col>
      <xdr:colOff>467895</xdr:colOff>
      <xdr:row>559</xdr:row>
      <xdr:rowOff>122544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B6CA725D-9802-8C41-864A-CD66AFAC9FB3}"/>
            </a:ext>
          </a:extLst>
        </xdr:cNvPr>
        <xdr:cNvCxnSpPr/>
      </xdr:nvCxnSpPr>
      <xdr:spPr>
        <a:xfrm>
          <a:off x="13521361805" y="882977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551</xdr:row>
      <xdr:rowOff>27851</xdr:rowOff>
    </xdr:from>
    <xdr:to>
      <xdr:col>2</xdr:col>
      <xdr:colOff>785396</xdr:colOff>
      <xdr:row>559</xdr:row>
      <xdr:rowOff>128114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E86DB743-49E2-7B4C-8250-9501CF043C3E}"/>
            </a:ext>
          </a:extLst>
        </xdr:cNvPr>
        <xdr:cNvCxnSpPr/>
      </xdr:nvCxnSpPr>
      <xdr:spPr>
        <a:xfrm flipH="1">
          <a:off x="13523000104" y="878356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76</xdr:row>
      <xdr:rowOff>69370</xdr:rowOff>
    </xdr:from>
    <xdr:to>
      <xdr:col>14</xdr:col>
      <xdr:colOff>154748</xdr:colOff>
      <xdr:row>76</xdr:row>
      <xdr:rowOff>74706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D8AC10-1A58-F1FB-DAD4-7A98B31EE86A}"/>
            </a:ext>
          </a:extLst>
        </xdr:cNvPr>
        <xdr:cNvCxnSpPr/>
      </xdr:nvCxnSpPr>
      <xdr:spPr>
        <a:xfrm>
          <a:off x="13539486008" y="15677563"/>
          <a:ext cx="4487689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65</xdr:row>
      <xdr:rowOff>10673</xdr:rowOff>
    </xdr:from>
    <xdr:to>
      <xdr:col>13</xdr:col>
      <xdr:colOff>426891</xdr:colOff>
      <xdr:row>85</xdr:row>
      <xdr:rowOff>10672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4884E1F-FEC3-9A75-EDE7-25F156BF07A6}"/>
            </a:ext>
          </a:extLst>
        </xdr:cNvPr>
        <xdr:cNvCxnSpPr/>
      </xdr:nvCxnSpPr>
      <xdr:spPr>
        <a:xfrm flipV="1">
          <a:off x="13540040966" y="13377690"/>
          <a:ext cx="32017" cy="407680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69</xdr:row>
      <xdr:rowOff>10674</xdr:rowOff>
    </xdr:from>
    <xdr:to>
      <xdr:col>13</xdr:col>
      <xdr:colOff>490923</xdr:colOff>
      <xdr:row>69</xdr:row>
      <xdr:rowOff>197438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E240DF82-9C81-2DE7-D5A7-5450166EF530}"/>
            </a:ext>
          </a:extLst>
        </xdr:cNvPr>
        <xdr:cNvSpPr/>
      </xdr:nvSpPr>
      <xdr:spPr>
        <a:xfrm>
          <a:off x="13539976934" y="14199456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69</xdr:row>
      <xdr:rowOff>170087</xdr:rowOff>
    </xdr:from>
    <xdr:to>
      <xdr:col>13</xdr:col>
      <xdr:colOff>331510</xdr:colOff>
      <xdr:row>76</xdr:row>
      <xdr:rowOff>64034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C339EC53-0EFE-E5BC-2107-574435CF135B}"/>
            </a:ext>
          </a:extLst>
        </xdr:cNvPr>
        <xdr:cNvCxnSpPr>
          <a:stCxn id="26" idx="5"/>
        </xdr:cNvCxnSpPr>
      </xdr:nvCxnSpPr>
      <xdr:spPr>
        <a:xfrm>
          <a:off x="13540136347" y="14358869"/>
          <a:ext cx="1548149" cy="131335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62</xdr:row>
      <xdr:rowOff>101386</xdr:rowOff>
    </xdr:from>
    <xdr:to>
      <xdr:col>11</xdr:col>
      <xdr:colOff>443569</xdr:colOff>
      <xdr:row>76</xdr:row>
      <xdr:rowOff>63364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7AE2D50-4BB9-12A7-1C45-0EB3BC6AE418}"/>
            </a:ext>
          </a:extLst>
        </xdr:cNvPr>
        <xdr:cNvCxnSpPr/>
      </xdr:nvCxnSpPr>
      <xdr:spPr>
        <a:xfrm flipV="1">
          <a:off x="13541678490" y="12849411"/>
          <a:ext cx="2273863" cy="282214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67</xdr:row>
      <xdr:rowOff>32017</xdr:rowOff>
    </xdr:from>
    <xdr:to>
      <xdr:col>9</xdr:col>
      <xdr:colOff>373530</xdr:colOff>
      <xdr:row>72</xdr:row>
      <xdr:rowOff>138739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2872727C-0483-6678-CF9D-B0FA62EEC364}"/>
            </a:ext>
          </a:extLst>
        </xdr:cNvPr>
        <xdr:cNvCxnSpPr/>
      </xdr:nvCxnSpPr>
      <xdr:spPr>
        <a:xfrm>
          <a:off x="13543402731" y="13804580"/>
          <a:ext cx="0" cy="1131260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65</xdr:row>
      <xdr:rowOff>197436</xdr:rowOff>
    </xdr:from>
    <xdr:to>
      <xdr:col>11</xdr:col>
      <xdr:colOff>437563</xdr:colOff>
      <xdr:row>82</xdr:row>
      <xdr:rowOff>80042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09D75D6-106F-3CA4-2921-086903794DA0}"/>
            </a:ext>
          </a:extLst>
        </xdr:cNvPr>
        <xdr:cNvCxnSpPr/>
      </xdr:nvCxnSpPr>
      <xdr:spPr>
        <a:xfrm flipV="1">
          <a:off x="13541684496" y="13564453"/>
          <a:ext cx="2833487" cy="335109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69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32BA7BC-B86F-2AB4-8BE0-49AFE750EA57}"/>
                </a:ext>
              </a:extLst>
            </xdr:cNvPr>
            <xdr:cNvSpPr txBox="1"/>
          </xdr:nvSpPr>
          <xdr:spPr>
            <a:xfrm>
              <a:off x="13542830204" y="143238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74</xdr:row>
      <xdr:rowOff>21345</xdr:rowOff>
    </xdr:from>
    <xdr:to>
      <xdr:col>13</xdr:col>
      <xdr:colOff>437563</xdr:colOff>
      <xdr:row>82</xdr:row>
      <xdr:rowOff>69370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B6E98228-D019-4E92-9410-4CFF70645A34}"/>
            </a:ext>
          </a:extLst>
        </xdr:cNvPr>
        <xdr:cNvCxnSpPr/>
      </xdr:nvCxnSpPr>
      <xdr:spPr>
        <a:xfrm>
          <a:off x="13540030294" y="15223992"/>
          <a:ext cx="1664874" cy="168088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77</xdr:row>
      <xdr:rowOff>209725</xdr:rowOff>
    </xdr:from>
    <xdr:to>
      <xdr:col>11</xdr:col>
      <xdr:colOff>426891</xdr:colOff>
      <xdr:row>81</xdr:row>
      <xdr:rowOff>197437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AB573D7-C268-CB28-F79B-4AB2A0601CD0}"/>
            </a:ext>
          </a:extLst>
        </xdr:cNvPr>
        <xdr:cNvCxnSpPr/>
      </xdr:nvCxnSpPr>
      <xdr:spPr>
        <a:xfrm flipH="1">
          <a:off x="13544099807" y="16137156"/>
          <a:ext cx="7441" cy="83826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78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D0F472A1-4255-FB44-6162-45294EFC1AF3}"/>
                </a:ext>
              </a:extLst>
            </xdr:cNvPr>
            <xdr:cNvSpPr txBox="1"/>
          </xdr:nvSpPr>
          <xdr:spPr>
            <a:xfrm>
              <a:off x="13541714952" y="1617553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81</xdr:row>
      <xdr:rowOff>117398</xdr:rowOff>
    </xdr:from>
    <xdr:to>
      <xdr:col>13</xdr:col>
      <xdr:colOff>522940</xdr:colOff>
      <xdr:row>82</xdr:row>
      <xdr:rowOff>101389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30B8DF8F-FDD5-FD93-6972-9132FC0F0B30}"/>
            </a:ext>
          </a:extLst>
        </xdr:cNvPr>
        <xdr:cNvSpPr/>
      </xdr:nvSpPr>
      <xdr:spPr>
        <a:xfrm>
          <a:off x="13539944917" y="1675012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81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FF9F5D4-E38E-B5A0-449D-C0839F33661D}"/>
                </a:ext>
              </a:extLst>
            </xdr:cNvPr>
            <xdr:cNvSpPr txBox="1"/>
          </xdr:nvSpPr>
          <xdr:spPr>
            <a:xfrm>
              <a:off x="13539431087" y="1676784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73</xdr:row>
      <xdr:rowOff>149415</xdr:rowOff>
    </xdr:from>
    <xdr:to>
      <xdr:col>13</xdr:col>
      <xdr:colOff>522940</xdr:colOff>
      <xdr:row>74</xdr:row>
      <xdr:rowOff>133406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1C71F335-2951-E167-A004-2396E8B05B73}"/>
            </a:ext>
          </a:extLst>
        </xdr:cNvPr>
        <xdr:cNvSpPr/>
      </xdr:nvSpPr>
      <xdr:spPr>
        <a:xfrm>
          <a:off x="13539944917" y="15149289"/>
          <a:ext cx="186764" cy="186764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69</xdr:row>
      <xdr:rowOff>112058</xdr:rowOff>
    </xdr:from>
    <xdr:to>
      <xdr:col>13</xdr:col>
      <xdr:colOff>565630</xdr:colOff>
      <xdr:row>74</xdr:row>
      <xdr:rowOff>5336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BBDEBA65-5C62-47B2-3203-3F94D49B9892}"/>
            </a:ext>
          </a:extLst>
        </xdr:cNvPr>
        <xdr:cNvCxnSpPr/>
      </xdr:nvCxnSpPr>
      <xdr:spPr>
        <a:xfrm flipH="1">
          <a:off x="13539902227" y="14300840"/>
          <a:ext cx="5336" cy="907143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71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8BFD079A-95FF-DF85-BC78-878E3A111B46}"/>
                </a:ext>
              </a:extLst>
            </xdr:cNvPr>
            <xdr:cNvSpPr txBox="1"/>
          </xdr:nvSpPr>
          <xdr:spPr>
            <a:xfrm>
              <a:off x="13539308356" y="14633390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73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8291011E-F5E6-D64B-C992-409F10E70DFC}"/>
                </a:ext>
              </a:extLst>
            </xdr:cNvPr>
            <xdr:cNvSpPr txBox="1"/>
          </xdr:nvSpPr>
          <xdr:spPr>
            <a:xfrm>
              <a:off x="13539473775" y="15145659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75</xdr:row>
      <xdr:rowOff>176096</xdr:rowOff>
    </xdr:from>
    <xdr:to>
      <xdr:col>13</xdr:col>
      <xdr:colOff>74705</xdr:colOff>
      <xdr:row>76</xdr:row>
      <xdr:rowOff>160087</xdr:rowOff>
    </xdr:to>
    <xdr:sp macro="" textlink="">
      <xdr:nvSpPr>
        <xdr:cNvPr id="59" name="Oval 58">
          <a:extLst>
            <a:ext uri="{FF2B5EF4-FFF2-40B4-BE49-F238E27FC236}">
              <a16:creationId xmlns:a16="http://schemas.microsoft.com/office/drawing/2014/main" id="{1D5C4E0C-8C98-212E-C6B4-27C6F07897F4}"/>
            </a:ext>
          </a:extLst>
        </xdr:cNvPr>
        <xdr:cNvSpPr/>
      </xdr:nvSpPr>
      <xdr:spPr>
        <a:xfrm>
          <a:off x="13540393152" y="15581516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75</xdr:row>
      <xdr:rowOff>186768</xdr:rowOff>
    </xdr:from>
    <xdr:to>
      <xdr:col>10</xdr:col>
      <xdr:colOff>293487</xdr:colOff>
      <xdr:row>76</xdr:row>
      <xdr:rowOff>170759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BB546C14-CADE-C133-9CF5-3CA792D58D62}"/>
            </a:ext>
          </a:extLst>
        </xdr:cNvPr>
        <xdr:cNvSpPr/>
      </xdr:nvSpPr>
      <xdr:spPr>
        <a:xfrm>
          <a:off x="13542655673" y="15592188"/>
          <a:ext cx="186764" cy="186764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90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738FDA51-C17B-8B43-9232-09276CE77FED}"/>
                </a:ext>
              </a:extLst>
            </xdr:cNvPr>
            <xdr:cNvSpPr txBox="1"/>
          </xdr:nvSpPr>
          <xdr:spPr>
            <a:xfrm>
              <a:off x="13540023398" y="18587463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</a:t>
              </a:r>
              <a:r>
                <a:rPr lang="he-IL" sz="1100" b="0" i="0">
                  <a:latin typeface="Cambria Math" panose="02040503050406030204" pitchFamily="18" charset="0"/>
                </a:rPr>
                <a:t> 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81</xdr:row>
      <xdr:rowOff>162141</xdr:rowOff>
    </xdr:from>
    <xdr:to>
      <xdr:col>12</xdr:col>
      <xdr:colOff>23303</xdr:colOff>
      <xdr:row>84</xdr:row>
      <xdr:rowOff>81559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DDCE5F21-C670-5631-B12B-E274B23870D5}"/>
            </a:ext>
          </a:extLst>
        </xdr:cNvPr>
        <xdr:cNvSpPr/>
      </xdr:nvSpPr>
      <xdr:spPr>
        <a:xfrm>
          <a:off x="13543676147" y="16940123"/>
          <a:ext cx="897157" cy="53111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146</xdr:row>
      <xdr:rowOff>69850</xdr:rowOff>
    </xdr:from>
    <xdr:to>
      <xdr:col>13</xdr:col>
      <xdr:colOff>438150</xdr:colOff>
      <xdr:row>164</xdr:row>
      <xdr:rowOff>19050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DA48B2A7-0CE3-805B-6A97-F652C0BF085C}"/>
            </a:ext>
          </a:extLst>
        </xdr:cNvPr>
        <xdr:cNvCxnSpPr/>
      </xdr:nvCxnSpPr>
      <xdr:spPr>
        <a:xfrm flipV="1">
          <a:off x="13513822350" y="301180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156</xdr:row>
      <xdr:rowOff>107950</xdr:rowOff>
    </xdr:from>
    <xdr:to>
      <xdr:col>14</xdr:col>
      <xdr:colOff>285750</xdr:colOff>
      <xdr:row>156</xdr:row>
      <xdr:rowOff>127000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39A03AD9-5F8F-9B7D-A36D-06A57417F05B}"/>
            </a:ext>
          </a:extLst>
        </xdr:cNvPr>
        <xdr:cNvCxnSpPr/>
      </xdr:nvCxnSpPr>
      <xdr:spPr>
        <a:xfrm flipV="1">
          <a:off x="13513149250" y="321881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156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B5CFB522-BB48-211B-CB92-515AF5DD8470}"/>
                </a:ext>
              </a:extLst>
            </xdr:cNvPr>
            <xdr:cNvSpPr txBox="1"/>
          </xdr:nvSpPr>
          <xdr:spPr>
            <a:xfrm>
              <a:off x="13513523782" y="322453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153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6915F2AD-FA7C-DFA1-0515-459C27019995}"/>
                </a:ext>
              </a:extLst>
            </xdr:cNvPr>
            <xdr:cNvSpPr txBox="1"/>
          </xdr:nvSpPr>
          <xdr:spPr>
            <a:xfrm>
              <a:off x="13513523782" y="31496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162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311C6F2-A7AA-759A-31E0-27F7008FE568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33F4F9A9-FDD1-8EED-A013-00E88897D473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153</xdr:row>
      <xdr:rowOff>92464</xdr:rowOff>
    </xdr:from>
    <xdr:to>
      <xdr:col>13</xdr:col>
      <xdr:colOff>431800</xdr:colOff>
      <xdr:row>163</xdr:row>
      <xdr:rowOff>31750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DC15B8FC-F9BA-9374-96CE-EA1BE5A526B1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148</xdr:row>
      <xdr:rowOff>177800</xdr:rowOff>
    </xdr:from>
    <xdr:to>
      <xdr:col>12</xdr:col>
      <xdr:colOff>165100</xdr:colOff>
      <xdr:row>163</xdr:row>
      <xdr:rowOff>50800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701DA549-6CEF-A831-6703-3792E4A2D3ED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163</xdr:row>
      <xdr:rowOff>44450</xdr:rowOff>
    </xdr:from>
    <xdr:to>
      <xdr:col>13</xdr:col>
      <xdr:colOff>298450</xdr:colOff>
      <xdr:row>163</xdr:row>
      <xdr:rowOff>50800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DDD238-A16A-9955-8EE0-DF1C49327F62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157</xdr:row>
      <xdr:rowOff>127000</xdr:rowOff>
    </xdr:from>
    <xdr:to>
      <xdr:col>12</xdr:col>
      <xdr:colOff>146050</xdr:colOff>
      <xdr:row>162</xdr:row>
      <xdr:rowOff>165100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EA6CADA0-EBDE-F9FB-F5D7-A7BBE1EF09DC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156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7FA8A513-990E-F9E6-CBB8-C19646A6524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156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F8EB08C3-32F2-DF9A-69E7-8037679E1202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198</xdr:row>
      <xdr:rowOff>69850</xdr:rowOff>
    </xdr:from>
    <xdr:to>
      <xdr:col>12</xdr:col>
      <xdr:colOff>438150</xdr:colOff>
      <xdr:row>216</xdr:row>
      <xdr:rowOff>19050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94B6AC9-3C75-6046-9169-BB4D63454351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208</xdr:row>
      <xdr:rowOff>107950</xdr:rowOff>
    </xdr:from>
    <xdr:to>
      <xdr:col>13</xdr:col>
      <xdr:colOff>285750</xdr:colOff>
      <xdr:row>208</xdr:row>
      <xdr:rowOff>127000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93E23AEA-4C12-234B-B8D9-9F4CBF9B6AB1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208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6C8E407-3FF3-E541-B470-65312255ADD5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205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B27B7D0B-1219-2144-BF06-55ED3068534C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214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9847670-C64D-4E43-8ACF-50AFDA54B4AB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BCB3B83-1B44-EF4D-A700-5CF825DEA524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205</xdr:row>
      <xdr:rowOff>92464</xdr:rowOff>
    </xdr:from>
    <xdr:to>
      <xdr:col>12</xdr:col>
      <xdr:colOff>431800</xdr:colOff>
      <xdr:row>215</xdr:row>
      <xdr:rowOff>31750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F0770B48-476F-704A-B547-6171253D0E28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200</xdr:row>
      <xdr:rowOff>177800</xdr:rowOff>
    </xdr:from>
    <xdr:to>
      <xdr:col>11</xdr:col>
      <xdr:colOff>165100</xdr:colOff>
      <xdr:row>215</xdr:row>
      <xdr:rowOff>50800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7A80D992-04E4-EB4C-9351-BF91BD91F718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215</xdr:row>
      <xdr:rowOff>44450</xdr:rowOff>
    </xdr:from>
    <xdr:to>
      <xdr:col>12</xdr:col>
      <xdr:colOff>298450</xdr:colOff>
      <xdr:row>215</xdr:row>
      <xdr:rowOff>50800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DCEE650E-6900-A64A-81D0-F7AB46C3AF6D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209</xdr:row>
      <xdr:rowOff>127000</xdr:rowOff>
    </xdr:from>
    <xdr:to>
      <xdr:col>11</xdr:col>
      <xdr:colOff>146050</xdr:colOff>
      <xdr:row>214</xdr:row>
      <xdr:rowOff>165100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94C1EA15-4AB3-D54C-B879-A0DDE651CA45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208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BACAEC28-9AD6-BC46-B0B0-F9087601AE9C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208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C81A335B-456A-7A42-B293-0AE125D6C78D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188</xdr:row>
      <xdr:rowOff>190156</xdr:rowOff>
    </xdr:from>
    <xdr:to>
      <xdr:col>5</xdr:col>
      <xdr:colOff>628626</xdr:colOff>
      <xdr:row>202</xdr:row>
      <xdr:rowOff>118761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98A3BC8-630A-EB75-3A90-F348B7E9A9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143</xdr:row>
      <xdr:rowOff>121785</xdr:rowOff>
    </xdr:from>
    <xdr:to>
      <xdr:col>5</xdr:col>
      <xdr:colOff>526821</xdr:colOff>
      <xdr:row>157</xdr:row>
      <xdr:rowOff>50390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BD5125-4260-B458-3D02-2023223CD0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4571743-2EAF-71A3-5CAA-E23A86B37B44}"/>
            </a:ext>
          </a:extLst>
        </xdr:cNvPr>
        <xdr:cNvCxnSpPr/>
      </xdr:nvCxnSpPr>
      <xdr:spPr>
        <a:xfrm flipV="1">
          <a:off x="13521622686" y="7341767"/>
          <a:ext cx="26926" cy="350484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9E312388-29C2-8B67-99D8-FF37D898546B}"/>
            </a:ext>
          </a:extLst>
        </xdr:cNvPr>
        <xdr:cNvCxnSpPr/>
      </xdr:nvCxnSpPr>
      <xdr:spPr>
        <a:xfrm>
          <a:off x="13521357915" y="9446466"/>
          <a:ext cx="363049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309798A-1A01-B6D9-73F7-0941C8D1E6E3}"/>
                </a:ext>
              </a:extLst>
            </xdr:cNvPr>
            <xdr:cNvSpPr txBox="1"/>
          </xdr:nvSpPr>
          <xdr:spPr>
            <a:xfrm>
              <a:off x="13524682257" y="933930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E3744D81-CCEF-5AEE-BA0E-D7BAFC64A22F}"/>
            </a:ext>
          </a:extLst>
        </xdr:cNvPr>
        <xdr:cNvSpPr/>
      </xdr:nvSpPr>
      <xdr:spPr>
        <a:xfrm>
          <a:off x="13521577809" y="8037349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7FEBEF07-9151-56F9-E04D-F315665B6B31}"/>
                </a:ext>
              </a:extLst>
            </xdr:cNvPr>
            <xdr:cNvSpPr txBox="1"/>
          </xdr:nvSpPr>
          <xdr:spPr>
            <a:xfrm>
              <a:off x="13521249219" y="8037889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9297A2B-7003-C751-5C27-75E1273C062D}"/>
            </a:ext>
          </a:extLst>
        </xdr:cNvPr>
        <xdr:cNvCxnSpPr/>
      </xdr:nvCxnSpPr>
      <xdr:spPr>
        <a:xfrm>
          <a:off x="13521690000" y="8109152"/>
          <a:ext cx="1171272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73A0A7D7-C459-7149-8898-F1B579F0548E}"/>
                </a:ext>
              </a:extLst>
            </xdr:cNvPr>
            <xdr:cNvSpPr txBox="1"/>
          </xdr:nvSpPr>
          <xdr:spPr>
            <a:xfrm>
              <a:off x="13522407027" y="9478419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E7B29A18-2BC2-425B-2A0A-507470E7E231}"/>
            </a:ext>
          </a:extLst>
        </xdr:cNvPr>
        <xdr:cNvCxnSpPr/>
      </xdr:nvCxnSpPr>
      <xdr:spPr>
        <a:xfrm>
          <a:off x="13522852298" y="8109151"/>
          <a:ext cx="1427066" cy="255346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EFE2E8D6-313C-4D27-95C2-0548673916B6}"/>
                </a:ext>
              </a:extLst>
            </xdr:cNvPr>
            <xdr:cNvSpPr txBox="1"/>
          </xdr:nvSpPr>
          <xdr:spPr>
            <a:xfrm>
              <a:off x="13520975473" y="10586864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97AE44E-6A3D-C30C-7050-4055785FA673}"/>
            </a:ext>
          </a:extLst>
        </xdr:cNvPr>
        <xdr:cNvCxnSpPr/>
      </xdr:nvCxnSpPr>
      <xdr:spPr>
        <a:xfrm>
          <a:off x="13524274877" y="10662615"/>
          <a:ext cx="135975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0EA4707-0F81-3655-BD29-2F2C6CED1F5A}"/>
                </a:ext>
              </a:extLst>
            </xdr:cNvPr>
            <xdr:cNvSpPr txBox="1"/>
          </xdr:nvSpPr>
          <xdr:spPr>
            <a:xfrm>
              <a:off x="13523829606" y="924506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0465E7C-3119-BDEC-F29D-B3C7133377A3}"/>
            </a:ext>
          </a:extLst>
        </xdr:cNvPr>
        <xdr:cNvCxnSpPr/>
      </xdr:nvCxnSpPr>
      <xdr:spPr>
        <a:xfrm>
          <a:off x="13522847809" y="8122615"/>
          <a:ext cx="0" cy="130141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16D6110-1978-F3E0-8CB8-8985CF76B850}"/>
            </a:ext>
          </a:extLst>
        </xdr:cNvPr>
        <xdr:cNvSpPr/>
      </xdr:nvSpPr>
      <xdr:spPr>
        <a:xfrm>
          <a:off x="13522793958" y="80463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082233A-C5E4-D45A-8379-E1DC24D4DC88}"/>
            </a:ext>
          </a:extLst>
        </xdr:cNvPr>
        <xdr:cNvSpPr/>
      </xdr:nvSpPr>
      <xdr:spPr>
        <a:xfrm>
          <a:off x="13520469364" y="7588586"/>
          <a:ext cx="125654" cy="1480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5C157AB9-3271-0F38-0F13-5E602427CA69}"/>
            </a:ext>
          </a:extLst>
        </xdr:cNvPr>
        <xdr:cNvSpPr/>
      </xdr:nvSpPr>
      <xdr:spPr>
        <a:xfrm>
          <a:off x="13520433463" y="10393356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BEA84056-4185-4456-8F82-5CAC5404AB2F}"/>
            </a:ext>
          </a:extLst>
        </xdr:cNvPr>
        <xdr:cNvSpPr/>
      </xdr:nvSpPr>
      <xdr:spPr>
        <a:xfrm>
          <a:off x="13524261414" y="10613251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6F75CED3-ECF7-A9B7-C92E-8F540658AC60}"/>
            </a:ext>
          </a:extLst>
        </xdr:cNvPr>
        <xdr:cNvCxnSpPr>
          <a:endCxn id="29" idx="0"/>
        </xdr:cNvCxnSpPr>
      </xdr:nvCxnSpPr>
      <xdr:spPr>
        <a:xfrm>
          <a:off x="13524310777" y="9464418"/>
          <a:ext cx="11220" cy="11488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FB92CE0E-45CB-9269-5ABF-282DF33FC4BD}"/>
            </a:ext>
          </a:extLst>
        </xdr:cNvPr>
        <xdr:cNvSpPr/>
      </xdr:nvSpPr>
      <xdr:spPr>
        <a:xfrm>
          <a:off x="13520451413" y="11605017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0C027F4-19F9-F8A7-406A-352077A41109}"/>
            </a:ext>
          </a:extLst>
        </xdr:cNvPr>
        <xdr:cNvSpPr/>
      </xdr:nvSpPr>
      <xdr:spPr>
        <a:xfrm>
          <a:off x="13523538904" y="9374663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CF76D87A-F7BC-B36E-331D-35939B926A89}"/>
                </a:ext>
              </a:extLst>
            </xdr:cNvPr>
            <xdr:cNvSpPr txBox="1"/>
          </xdr:nvSpPr>
          <xdr:spPr>
            <a:xfrm>
              <a:off x="13523071197" y="9500857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47DFA43-F16F-2B42-1959-790AAB605431}"/>
            </a:ext>
          </a:extLst>
        </xdr:cNvPr>
        <xdr:cNvSpPr/>
      </xdr:nvSpPr>
      <xdr:spPr>
        <a:xfrm>
          <a:off x="13523826113" y="11591554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80</xdr:row>
      <xdr:rowOff>10119</xdr:rowOff>
    </xdr:from>
    <xdr:to>
      <xdr:col>10</xdr:col>
      <xdr:colOff>546454</xdr:colOff>
      <xdr:row>99</xdr:row>
      <xdr:rowOff>30359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E62470A-8BA0-963B-54E4-5AC17C709812}"/>
            </a:ext>
          </a:extLst>
        </xdr:cNvPr>
        <xdr:cNvCxnSpPr/>
      </xdr:nvCxnSpPr>
      <xdr:spPr>
        <a:xfrm flipV="1">
          <a:off x="13503763267" y="16292430"/>
          <a:ext cx="5060" cy="386565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91</xdr:row>
      <xdr:rowOff>121435</xdr:rowOff>
    </xdr:from>
    <xdr:to>
      <xdr:col>10</xdr:col>
      <xdr:colOff>612232</xdr:colOff>
      <xdr:row>91</xdr:row>
      <xdr:rowOff>121435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AFA141B3-A59E-3B11-32F7-7A352E655D83}"/>
            </a:ext>
          </a:extLst>
        </xdr:cNvPr>
        <xdr:cNvCxnSpPr/>
      </xdr:nvCxnSpPr>
      <xdr:spPr>
        <a:xfrm>
          <a:off x="13503697489" y="18630041"/>
          <a:ext cx="3718925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91</xdr:row>
      <xdr:rowOff>20239</xdr:rowOff>
    </xdr:from>
    <xdr:to>
      <xdr:col>8</xdr:col>
      <xdr:colOff>389601</xdr:colOff>
      <xdr:row>92</xdr:row>
      <xdr:rowOff>20240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8E76A14F-5DF7-7453-AA98-08A82D2D3F75}"/>
            </a:ext>
          </a:extLst>
        </xdr:cNvPr>
        <xdr:cNvSpPr/>
      </xdr:nvSpPr>
      <xdr:spPr>
        <a:xfrm>
          <a:off x="13505569602" y="18528845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83</xdr:row>
      <xdr:rowOff>197331</xdr:rowOff>
    </xdr:from>
    <xdr:to>
      <xdr:col>10</xdr:col>
      <xdr:colOff>622351</xdr:colOff>
      <xdr:row>84</xdr:row>
      <xdr:rowOff>197331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0B737414-AD48-6CE6-6074-B5BCA201C076}"/>
            </a:ext>
          </a:extLst>
        </xdr:cNvPr>
        <xdr:cNvSpPr/>
      </xdr:nvSpPr>
      <xdr:spPr>
        <a:xfrm>
          <a:off x="13503687370" y="1708681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92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C59AA15-E337-8887-C1AB-6F7262DC64EE}"/>
                </a:ext>
              </a:extLst>
            </xdr:cNvPr>
            <xdr:cNvSpPr txBox="1"/>
          </xdr:nvSpPr>
          <xdr:spPr>
            <a:xfrm>
              <a:off x="13504950091" y="18757242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84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7E854CA2-80DB-B0A2-B8B5-3D5168AC97E3}"/>
                </a:ext>
              </a:extLst>
            </xdr:cNvPr>
            <xdr:cNvSpPr txBox="1"/>
          </xdr:nvSpPr>
          <xdr:spPr>
            <a:xfrm>
              <a:off x="13502830051" y="17117879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92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8DE63F-40DE-CC77-DF94-8BD62031FE2A}"/>
                </a:ext>
              </a:extLst>
            </xdr:cNvPr>
            <xdr:cNvSpPr txBox="1"/>
          </xdr:nvSpPr>
          <xdr:spPr>
            <a:xfrm>
              <a:off x="13504094991" y="1872688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92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9F4BAC81-8729-B8C9-B9BF-4CBDA64B20F2}"/>
                </a:ext>
              </a:extLst>
            </xdr:cNvPr>
            <xdr:cNvSpPr txBox="1"/>
          </xdr:nvSpPr>
          <xdr:spPr>
            <a:xfrm>
              <a:off x="13505617979" y="18721824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84</xdr:row>
      <xdr:rowOff>111314</xdr:rowOff>
    </xdr:from>
    <xdr:to>
      <xdr:col>10</xdr:col>
      <xdr:colOff>475617</xdr:colOff>
      <xdr:row>84</xdr:row>
      <xdr:rowOff>116374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514F3242-D1D5-33F5-1123-0CFA26E31AE9}"/>
            </a:ext>
          </a:extLst>
        </xdr:cNvPr>
        <xdr:cNvCxnSpPr/>
      </xdr:nvCxnSpPr>
      <xdr:spPr>
        <a:xfrm>
          <a:off x="13503834104" y="17203187"/>
          <a:ext cx="976533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84</xdr:row>
      <xdr:rowOff>0</xdr:rowOff>
    </xdr:from>
    <xdr:to>
      <xdr:col>9</xdr:col>
      <xdr:colOff>359243</xdr:colOff>
      <xdr:row>85</xdr:row>
      <xdr:rowOff>1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9F122A7-D655-8E81-6DD6-94DC29D15317}"/>
            </a:ext>
          </a:extLst>
        </xdr:cNvPr>
        <xdr:cNvSpPr/>
      </xdr:nvSpPr>
      <xdr:spPr>
        <a:xfrm>
          <a:off x="13504775219" y="17091873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84</xdr:row>
      <xdr:rowOff>126493</xdr:rowOff>
    </xdr:from>
    <xdr:to>
      <xdr:col>9</xdr:col>
      <xdr:colOff>227689</xdr:colOff>
      <xdr:row>97</xdr:row>
      <xdr:rowOff>121434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0D87DC9E-CAFE-731D-B798-34D44CF0766F}"/>
            </a:ext>
          </a:extLst>
        </xdr:cNvPr>
        <xdr:cNvCxnSpPr/>
      </xdr:nvCxnSpPr>
      <xdr:spPr>
        <a:xfrm>
          <a:off x="13504906773" y="17218366"/>
          <a:ext cx="1401554" cy="26260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97</xdr:row>
      <xdr:rowOff>116374</xdr:rowOff>
    </xdr:from>
    <xdr:to>
      <xdr:col>7</xdr:col>
      <xdr:colOff>485736</xdr:colOff>
      <xdr:row>97</xdr:row>
      <xdr:rowOff>126494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DC3F9E1A-D772-0408-2E08-9DE25299E04A}"/>
            </a:ext>
          </a:extLst>
        </xdr:cNvPr>
        <xdr:cNvCxnSpPr/>
      </xdr:nvCxnSpPr>
      <xdr:spPr>
        <a:xfrm>
          <a:off x="13506298208" y="19839322"/>
          <a:ext cx="1816453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96</xdr:row>
      <xdr:rowOff>182152</xdr:rowOff>
    </xdr:from>
    <xdr:to>
      <xdr:col>7</xdr:col>
      <xdr:colOff>571753</xdr:colOff>
      <xdr:row>97</xdr:row>
      <xdr:rowOff>182153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BB2FE825-F35C-B979-9DE9-265A024B88CF}"/>
            </a:ext>
          </a:extLst>
        </xdr:cNvPr>
        <xdr:cNvSpPr/>
      </xdr:nvSpPr>
      <xdr:spPr>
        <a:xfrm>
          <a:off x="13506212191" y="19702710"/>
          <a:ext cx="151793" cy="2023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97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37E05FA9-D2C0-2CF2-5B42-8817CBFBA163}"/>
                </a:ext>
              </a:extLst>
            </xdr:cNvPr>
            <xdr:cNvSpPr txBox="1"/>
          </xdr:nvSpPr>
          <xdr:spPr>
            <a:xfrm>
              <a:off x="13502885708" y="19774253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187</xdr:row>
      <xdr:rowOff>38539</xdr:rowOff>
    </xdr:from>
    <xdr:to>
      <xdr:col>4</xdr:col>
      <xdr:colOff>474554</xdr:colOff>
      <xdr:row>196</xdr:row>
      <xdr:rowOff>117732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25FB6A4-6E7F-1BF8-33EA-2758C2B8F480}"/>
            </a:ext>
          </a:extLst>
        </xdr:cNvPr>
        <xdr:cNvCxnSpPr/>
      </xdr:nvCxnSpPr>
      <xdr:spPr>
        <a:xfrm flipV="1">
          <a:off x="13554768026" y="20391313"/>
          <a:ext cx="693" cy="192274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192</xdr:row>
      <xdr:rowOff>108185</xdr:rowOff>
    </xdr:from>
    <xdr:to>
      <xdr:col>4</xdr:col>
      <xdr:colOff>658520</xdr:colOff>
      <xdr:row>192</xdr:row>
      <xdr:rowOff>112889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72BB299-26C8-725A-5273-10551C9C7934}"/>
            </a:ext>
          </a:extLst>
        </xdr:cNvPr>
        <xdr:cNvCxnSpPr/>
      </xdr:nvCxnSpPr>
      <xdr:spPr>
        <a:xfrm>
          <a:off x="13559554814" y="21025555"/>
          <a:ext cx="211666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189</xdr:row>
      <xdr:rowOff>14111</xdr:rowOff>
    </xdr:from>
    <xdr:to>
      <xdr:col>4</xdr:col>
      <xdr:colOff>484482</xdr:colOff>
      <xdr:row>195</xdr:row>
      <xdr:rowOff>14112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EC35606E-72CA-A84A-08C1-522EA29D8BEE}"/>
            </a:ext>
          </a:extLst>
        </xdr:cNvPr>
        <xdr:cNvCxnSpPr/>
      </xdr:nvCxnSpPr>
      <xdr:spPr>
        <a:xfrm>
          <a:off x="13559728852" y="20526963"/>
          <a:ext cx="1063037" cy="121355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187</xdr:row>
      <xdr:rowOff>112889</xdr:rowOff>
    </xdr:from>
    <xdr:to>
      <xdr:col>3</xdr:col>
      <xdr:colOff>244592</xdr:colOff>
      <xdr:row>195</xdr:row>
      <xdr:rowOff>18816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3931B0FD-1BBD-A6F6-F42A-A2012AE5FD15}"/>
            </a:ext>
          </a:extLst>
        </xdr:cNvPr>
        <xdr:cNvCxnSpPr/>
      </xdr:nvCxnSpPr>
      <xdr:spPr>
        <a:xfrm flipH="1">
          <a:off x="13560796593" y="20221222"/>
          <a:ext cx="959555" cy="15240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187</xdr:row>
      <xdr:rowOff>94074</xdr:rowOff>
    </xdr:from>
    <xdr:to>
      <xdr:col>5</xdr:col>
      <xdr:colOff>672630</xdr:colOff>
      <xdr:row>187</xdr:row>
      <xdr:rowOff>103482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3B3DE173-31C5-7574-87CF-BF02CB7623D2}"/>
            </a:ext>
          </a:extLst>
        </xdr:cNvPr>
        <xdr:cNvCxnSpPr/>
      </xdr:nvCxnSpPr>
      <xdr:spPr>
        <a:xfrm>
          <a:off x="13558712852" y="20202407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188</xdr:row>
      <xdr:rowOff>112888</xdr:rowOff>
    </xdr:from>
    <xdr:to>
      <xdr:col>5</xdr:col>
      <xdr:colOff>677334</xdr:colOff>
      <xdr:row>188</xdr:row>
      <xdr:rowOff>122296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0A91A58-DDA1-C3EE-FC4D-29131960DB4E}"/>
            </a:ext>
          </a:extLst>
        </xdr:cNvPr>
        <xdr:cNvCxnSpPr/>
      </xdr:nvCxnSpPr>
      <xdr:spPr>
        <a:xfrm>
          <a:off x="13558708148" y="20423481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195</xdr:row>
      <xdr:rowOff>14112</xdr:rowOff>
    </xdr:from>
    <xdr:to>
      <xdr:col>4</xdr:col>
      <xdr:colOff>423334</xdr:colOff>
      <xdr:row>195</xdr:row>
      <xdr:rowOff>14112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98CEA782-ED25-6013-A24C-B9FCAFCBBFA8}"/>
            </a:ext>
          </a:extLst>
        </xdr:cNvPr>
        <xdr:cNvCxnSpPr/>
      </xdr:nvCxnSpPr>
      <xdr:spPr>
        <a:xfrm flipH="1">
          <a:off x="13559790000" y="21740519"/>
          <a:ext cx="874888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194</xdr:row>
      <xdr:rowOff>150519</xdr:rowOff>
    </xdr:from>
    <xdr:to>
      <xdr:col>3</xdr:col>
      <xdr:colOff>291629</xdr:colOff>
      <xdr:row>195</xdr:row>
      <xdr:rowOff>51741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DC1D6CBC-688F-E0C2-89F9-14E4513FE05D}"/>
            </a:ext>
          </a:extLst>
        </xdr:cNvPr>
        <xdr:cNvSpPr/>
      </xdr:nvSpPr>
      <xdr:spPr>
        <a:xfrm>
          <a:off x="13560749556" y="21674667"/>
          <a:ext cx="84666" cy="10348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194</xdr:row>
      <xdr:rowOff>94987</xdr:rowOff>
    </xdr:from>
    <xdr:to>
      <xdr:col>5</xdr:col>
      <xdr:colOff>54901</xdr:colOff>
      <xdr:row>195</xdr:row>
      <xdr:rowOff>113802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A931EEB1-F57E-BA10-0A0B-39DC5F80A565}"/>
            </a:ext>
          </a:extLst>
        </xdr:cNvPr>
        <xdr:cNvSpPr/>
      </xdr:nvSpPr>
      <xdr:spPr>
        <a:xfrm>
          <a:off x="13536332980" y="21863166"/>
          <a:ext cx="379595" cy="22353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192</xdr:row>
      <xdr:rowOff>127000</xdr:rowOff>
    </xdr:from>
    <xdr:to>
      <xdr:col>3</xdr:col>
      <xdr:colOff>263407</xdr:colOff>
      <xdr:row>194</xdr:row>
      <xdr:rowOff>150519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14416AF0-EB08-75E3-780C-EB2D1C33DE25}"/>
            </a:ext>
          </a:extLst>
        </xdr:cNvPr>
        <xdr:cNvCxnSpPr>
          <a:endCxn id="31" idx="0"/>
        </xdr:cNvCxnSpPr>
      </xdr:nvCxnSpPr>
      <xdr:spPr>
        <a:xfrm>
          <a:off x="13560777778" y="21246630"/>
          <a:ext cx="14111" cy="4280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191</xdr:row>
      <xdr:rowOff>65852</xdr:rowOff>
    </xdr:from>
    <xdr:to>
      <xdr:col>3</xdr:col>
      <xdr:colOff>460964</xdr:colOff>
      <xdr:row>192</xdr:row>
      <xdr:rowOff>84666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E61F80E0-9733-BB8A-16D7-41DAFBB19D3D}"/>
            </a:ext>
          </a:extLst>
        </xdr:cNvPr>
        <xdr:cNvSpPr/>
      </xdr:nvSpPr>
      <xdr:spPr>
        <a:xfrm>
          <a:off x="13560580221" y="20983222"/>
          <a:ext cx="381000" cy="22107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188</xdr:row>
      <xdr:rowOff>42333</xdr:rowOff>
    </xdr:from>
    <xdr:to>
      <xdr:col>3</xdr:col>
      <xdr:colOff>578556</xdr:colOff>
      <xdr:row>190</xdr:row>
      <xdr:rowOff>150519</xdr:rowOff>
    </xdr:to>
    <xdr:sp macro="" textlink="">
      <xdr:nvSpPr>
        <xdr:cNvPr id="37" name="Rounded Rectangular Callout 36">
          <a:extLst>
            <a:ext uri="{FF2B5EF4-FFF2-40B4-BE49-F238E27FC236}">
              <a16:creationId xmlns:a16="http://schemas.microsoft.com/office/drawing/2014/main" id="{C945C985-0410-5B66-C7D5-9DA07AD93963}"/>
            </a:ext>
          </a:extLst>
        </xdr:cNvPr>
        <xdr:cNvSpPr/>
      </xdr:nvSpPr>
      <xdr:spPr>
        <a:xfrm>
          <a:off x="13560462629" y="20352926"/>
          <a:ext cx="823149" cy="512704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192</xdr:row>
      <xdr:rowOff>47184</xdr:rowOff>
    </xdr:from>
    <xdr:to>
      <xdr:col>2</xdr:col>
      <xdr:colOff>788296</xdr:colOff>
      <xdr:row>192</xdr:row>
      <xdr:rowOff>151740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F703B947-EBEA-6BA5-7CD5-ACB63FA6D354}"/>
            </a:ext>
          </a:extLst>
        </xdr:cNvPr>
        <xdr:cNvSpPr/>
      </xdr:nvSpPr>
      <xdr:spPr>
        <a:xfrm>
          <a:off x="13541665037" y="21273851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192</xdr:row>
      <xdr:rowOff>159185</xdr:rowOff>
    </xdr:from>
    <xdr:to>
      <xdr:col>2</xdr:col>
      <xdr:colOff>750965</xdr:colOff>
      <xdr:row>193</xdr:row>
      <xdr:rowOff>178000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3D7811F2-3D9F-0A22-3187-F89B8EB3381A}"/>
            </a:ext>
          </a:extLst>
        </xdr:cNvPr>
        <xdr:cNvSpPr/>
      </xdr:nvSpPr>
      <xdr:spPr>
        <a:xfrm>
          <a:off x="13541702368" y="21385852"/>
          <a:ext cx="381000" cy="22214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192</xdr:row>
      <xdr:rowOff>63571</xdr:rowOff>
    </xdr:from>
    <xdr:to>
      <xdr:col>3</xdr:col>
      <xdr:colOff>726844</xdr:colOff>
      <xdr:row>192</xdr:row>
      <xdr:rowOff>168127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0953BA21-C550-7E18-1B6D-6FD0F9CE8141}"/>
            </a:ext>
          </a:extLst>
        </xdr:cNvPr>
        <xdr:cNvSpPr/>
      </xdr:nvSpPr>
      <xdr:spPr>
        <a:xfrm>
          <a:off x="13555343285" y="21440539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208</xdr:row>
      <xdr:rowOff>106333</xdr:rowOff>
    </xdr:from>
    <xdr:to>
      <xdr:col>3</xdr:col>
      <xdr:colOff>686973</xdr:colOff>
      <xdr:row>217</xdr:row>
      <xdr:rowOff>185526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9F1FAA-4FDC-AB4C-893C-C3BDE62B57BB}"/>
            </a:ext>
          </a:extLst>
        </xdr:cNvPr>
        <xdr:cNvCxnSpPr/>
      </xdr:nvCxnSpPr>
      <xdr:spPr>
        <a:xfrm flipV="1">
          <a:off x="13547740820" y="24593379"/>
          <a:ext cx="693" cy="190962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213</xdr:row>
      <xdr:rowOff>108185</xdr:rowOff>
    </xdr:from>
    <xdr:to>
      <xdr:col>4</xdr:col>
      <xdr:colOff>658520</xdr:colOff>
      <xdr:row>213</xdr:row>
      <xdr:rowOff>112889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4AB0230-096C-5B46-A6A3-4EC787322BBF}"/>
            </a:ext>
          </a:extLst>
        </xdr:cNvPr>
        <xdr:cNvCxnSpPr/>
      </xdr:nvCxnSpPr>
      <xdr:spPr>
        <a:xfrm>
          <a:off x="13546942192" y="21341139"/>
          <a:ext cx="2115127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213</xdr:row>
      <xdr:rowOff>152815</xdr:rowOff>
    </xdr:from>
    <xdr:to>
      <xdr:col>3</xdr:col>
      <xdr:colOff>654577</xdr:colOff>
      <xdr:row>216</xdr:row>
      <xdr:rowOff>14112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7961137B-34E6-DB46-95DC-1D8830FC6EB6}"/>
            </a:ext>
          </a:extLst>
        </xdr:cNvPr>
        <xdr:cNvCxnSpPr>
          <a:stCxn id="67" idx="5"/>
        </xdr:cNvCxnSpPr>
      </xdr:nvCxnSpPr>
      <xdr:spPr>
        <a:xfrm>
          <a:off x="13547773216" y="25656765"/>
          <a:ext cx="405281" cy="471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208</xdr:row>
      <xdr:rowOff>112889</xdr:rowOff>
    </xdr:from>
    <xdr:to>
      <xdr:col>3</xdr:col>
      <xdr:colOff>244592</xdr:colOff>
      <xdr:row>216</xdr:row>
      <xdr:rowOff>18816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444135E-CF60-BA41-801D-0876DCFB1923}"/>
            </a:ext>
          </a:extLst>
        </xdr:cNvPr>
        <xdr:cNvCxnSpPr/>
      </xdr:nvCxnSpPr>
      <xdr:spPr>
        <a:xfrm flipH="1">
          <a:off x="13548183201" y="20328939"/>
          <a:ext cx="958785" cy="153297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216</xdr:row>
      <xdr:rowOff>11743</xdr:rowOff>
    </xdr:from>
    <xdr:to>
      <xdr:col>3</xdr:col>
      <xdr:colOff>745809</xdr:colOff>
      <xdr:row>216</xdr:row>
      <xdr:rowOff>14112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4BDEDFF-0739-F746-8AA1-04E2CC6AB640}"/>
            </a:ext>
          </a:extLst>
        </xdr:cNvPr>
        <xdr:cNvCxnSpPr>
          <a:endCxn id="61" idx="3"/>
        </xdr:cNvCxnSpPr>
      </xdr:nvCxnSpPr>
      <xdr:spPr>
        <a:xfrm flipH="1" flipV="1">
          <a:off x="13547681984" y="26125836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215</xdr:row>
      <xdr:rowOff>150519</xdr:rowOff>
    </xdr:from>
    <xdr:to>
      <xdr:col>3</xdr:col>
      <xdr:colOff>291629</xdr:colOff>
      <xdr:row>216</xdr:row>
      <xdr:rowOff>51741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0B7E2D60-B860-CB4F-A4F8-00AA3A5F85AA}"/>
            </a:ext>
          </a:extLst>
        </xdr:cNvPr>
        <xdr:cNvSpPr/>
      </xdr:nvSpPr>
      <xdr:spPr>
        <a:xfrm>
          <a:off x="13548136164" y="21790234"/>
          <a:ext cx="84666" cy="10460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215</xdr:row>
      <xdr:rowOff>104026</xdr:rowOff>
    </xdr:from>
    <xdr:to>
      <xdr:col>4</xdr:col>
      <xdr:colOff>298958</xdr:colOff>
      <xdr:row>216</xdr:row>
      <xdr:rowOff>122841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E39457CF-01FE-3E40-83C0-CD8CCA5877C7}"/>
            </a:ext>
          </a:extLst>
        </xdr:cNvPr>
        <xdr:cNvSpPr/>
      </xdr:nvSpPr>
      <xdr:spPr>
        <a:xfrm>
          <a:off x="13547301754" y="26014738"/>
          <a:ext cx="38023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213</xdr:row>
      <xdr:rowOff>127000</xdr:rowOff>
    </xdr:from>
    <xdr:to>
      <xdr:col>3</xdr:col>
      <xdr:colOff>263407</xdr:colOff>
      <xdr:row>215</xdr:row>
      <xdr:rowOff>150519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D45911A6-3ED1-8347-B6F1-EAAC49C9BC01}"/>
            </a:ext>
          </a:extLst>
        </xdr:cNvPr>
        <xdr:cNvCxnSpPr>
          <a:endCxn id="60" idx="0"/>
        </xdr:cNvCxnSpPr>
      </xdr:nvCxnSpPr>
      <xdr:spPr>
        <a:xfrm>
          <a:off x="13548164386" y="21359954"/>
          <a:ext cx="14111" cy="43028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212</xdr:row>
      <xdr:rowOff>65852</xdr:rowOff>
    </xdr:from>
    <xdr:to>
      <xdr:col>3</xdr:col>
      <xdr:colOff>460964</xdr:colOff>
      <xdr:row>213</xdr:row>
      <xdr:rowOff>84666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24784B92-A67C-1545-9C11-E8928EC936BE}"/>
            </a:ext>
          </a:extLst>
        </xdr:cNvPr>
        <xdr:cNvSpPr/>
      </xdr:nvSpPr>
      <xdr:spPr>
        <a:xfrm>
          <a:off x="13547966829" y="21095425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209</xdr:row>
      <xdr:rowOff>42333</xdr:rowOff>
    </xdr:from>
    <xdr:to>
      <xdr:col>3</xdr:col>
      <xdr:colOff>578556</xdr:colOff>
      <xdr:row>211</xdr:row>
      <xdr:rowOff>150519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46FC1B23-2330-A142-8106-2CEFB8470B81}"/>
            </a:ext>
          </a:extLst>
        </xdr:cNvPr>
        <xdr:cNvSpPr/>
      </xdr:nvSpPr>
      <xdr:spPr>
        <a:xfrm>
          <a:off x="13547849237" y="20461764"/>
          <a:ext cx="822379" cy="514947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213</xdr:row>
      <xdr:rowOff>47184</xdr:rowOff>
    </xdr:from>
    <xdr:to>
      <xdr:col>2</xdr:col>
      <xdr:colOff>788296</xdr:colOff>
      <xdr:row>213</xdr:row>
      <xdr:rowOff>151740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8B87715-18FB-6A46-9547-7AA8FC8470C0}"/>
            </a:ext>
          </a:extLst>
        </xdr:cNvPr>
        <xdr:cNvSpPr/>
      </xdr:nvSpPr>
      <xdr:spPr>
        <a:xfrm>
          <a:off x="13548466579" y="21280138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213</xdr:row>
      <xdr:rowOff>159185</xdr:rowOff>
    </xdr:from>
    <xdr:to>
      <xdr:col>2</xdr:col>
      <xdr:colOff>750965</xdr:colOff>
      <xdr:row>214</xdr:row>
      <xdr:rowOff>178000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D21CEE9A-3FD4-2549-B268-3A1E2C92E496}"/>
            </a:ext>
          </a:extLst>
        </xdr:cNvPr>
        <xdr:cNvSpPr/>
      </xdr:nvSpPr>
      <xdr:spPr>
        <a:xfrm>
          <a:off x="13548503910" y="21392139"/>
          <a:ext cx="381000" cy="22219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213</xdr:row>
      <xdr:rowOff>63571</xdr:rowOff>
    </xdr:from>
    <xdr:to>
      <xdr:col>3</xdr:col>
      <xdr:colOff>726844</xdr:colOff>
      <xdr:row>213</xdr:row>
      <xdr:rowOff>168127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467B2E5F-2934-214F-9617-677C55B40D6E}"/>
            </a:ext>
          </a:extLst>
        </xdr:cNvPr>
        <xdr:cNvSpPr/>
      </xdr:nvSpPr>
      <xdr:spPr>
        <a:xfrm>
          <a:off x="13547700949" y="21296525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212</xdr:row>
      <xdr:rowOff>61333</xdr:rowOff>
    </xdr:from>
    <xdr:to>
      <xdr:col>4</xdr:col>
      <xdr:colOff>275663</xdr:colOff>
      <xdr:row>213</xdr:row>
      <xdr:rowOff>80147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73CFC55B-328E-6914-7F09-33A450E30E28}"/>
            </a:ext>
          </a:extLst>
        </xdr:cNvPr>
        <xdr:cNvSpPr/>
      </xdr:nvSpPr>
      <xdr:spPr>
        <a:xfrm>
          <a:off x="13547325049" y="25361902"/>
          <a:ext cx="381000" cy="2221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206</xdr:row>
      <xdr:rowOff>108470</xdr:rowOff>
    </xdr:from>
    <xdr:to>
      <xdr:col>7</xdr:col>
      <xdr:colOff>76833</xdr:colOff>
      <xdr:row>212</xdr:row>
      <xdr:rowOff>158184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E943E4F-DE40-69E1-F8C2-250E8291D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042633" y="24188755"/>
          <a:ext cx="1269999" cy="1269999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213</xdr:row>
      <xdr:rowOff>140106</xdr:rowOff>
    </xdr:from>
    <xdr:to>
      <xdr:col>8</xdr:col>
      <xdr:colOff>262135</xdr:colOff>
      <xdr:row>220</xdr:row>
      <xdr:rowOff>112989</xdr:rowOff>
    </xdr:to>
    <xdr:sp macro="" textlink="">
      <xdr:nvSpPr>
        <xdr:cNvPr id="71" name="Rounded Rectangular Callout 70">
          <a:extLst>
            <a:ext uri="{FF2B5EF4-FFF2-40B4-BE49-F238E27FC236}">
              <a16:creationId xmlns:a16="http://schemas.microsoft.com/office/drawing/2014/main" id="{672241B6-D0F8-52DA-4E85-3307A9DB8D2A}"/>
            </a:ext>
          </a:extLst>
        </xdr:cNvPr>
        <xdr:cNvSpPr/>
      </xdr:nvSpPr>
      <xdr:spPr>
        <a:xfrm>
          <a:off x="13544030249" y="25644056"/>
          <a:ext cx="2621352" cy="1396549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D7E44EC3-2F29-676A-2981-FBDEC3865A52}"/>
            </a:ext>
          </a:extLst>
        </xdr:cNvPr>
        <xdr:cNvCxnSpPr/>
      </xdr:nvCxnSpPr>
      <xdr:spPr>
        <a:xfrm flipH="1" flipV="1">
          <a:off x="13557981344" y="1843690"/>
          <a:ext cx="8759" cy="2172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A45FB58-B9D1-F3E3-4ADF-3DBD96F1B0B6}"/>
            </a:ext>
          </a:extLst>
        </xdr:cNvPr>
        <xdr:cNvCxnSpPr/>
      </xdr:nvCxnSpPr>
      <xdr:spPr>
        <a:xfrm>
          <a:off x="13557749241" y="3126828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C29AA679-602F-C63B-D75E-CE16C9F33E46}"/>
            </a:ext>
          </a:extLst>
        </xdr:cNvPr>
        <xdr:cNvCxnSpPr/>
      </xdr:nvCxnSpPr>
      <xdr:spPr>
        <a:xfrm>
          <a:off x="13557972586" y="2509345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2F2A5B-FE05-12A0-80EB-6FCD0D928C18}"/>
            </a:ext>
          </a:extLst>
        </xdr:cNvPr>
        <xdr:cNvCxnSpPr/>
      </xdr:nvCxnSpPr>
      <xdr:spPr>
        <a:xfrm>
          <a:off x="13558677655" y="2916621"/>
          <a:ext cx="731345" cy="10860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3E142374-B793-A2EB-E40E-60229F8F32AA}"/>
            </a:ext>
          </a:extLst>
        </xdr:cNvPr>
        <xdr:cNvCxnSpPr/>
      </xdr:nvCxnSpPr>
      <xdr:spPr>
        <a:xfrm flipV="1">
          <a:off x="13559409000" y="3591034"/>
          <a:ext cx="84958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7B5C9E-FB74-B17B-76EF-596F33E7DE02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9925F2A-4697-FC4E-AF2D-EC57F27EF876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86F44C90-1626-6429-5EF8-8D6ABFE45B12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1EFB5155-24CE-1276-EA12-351BFF22E260}"/>
            </a:ext>
          </a:extLst>
        </xdr:cNvPr>
        <xdr:cNvCxnSpPr/>
      </xdr:nvCxnSpPr>
      <xdr:spPr>
        <a:xfrm flipH="1">
          <a:off x="13555327483" y="2754586"/>
          <a:ext cx="564931" cy="119992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A0736C1-15C0-DF10-836C-DFA2903298B9}"/>
            </a:ext>
          </a:extLst>
        </xdr:cNvPr>
        <xdr:cNvCxnSpPr/>
      </xdr:nvCxnSpPr>
      <xdr:spPr>
        <a:xfrm>
          <a:off x="13555883655" y="2758966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8BF8E23-8695-8F47-9B7D-5D180C2A38E8}"/>
            </a:ext>
          </a:extLst>
        </xdr:cNvPr>
        <xdr:cNvCxnSpPr/>
      </xdr:nvCxnSpPr>
      <xdr:spPr>
        <a:xfrm flipH="1" flipV="1">
          <a:off x="13554635551" y="2045139"/>
          <a:ext cx="8759" cy="242613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9ECD48D-26D7-B842-B110-18837784D7E5}"/>
            </a:ext>
          </a:extLst>
        </xdr:cNvPr>
        <xdr:cNvCxnSpPr/>
      </xdr:nvCxnSpPr>
      <xdr:spPr>
        <a:xfrm>
          <a:off x="13554438483" y="3542863"/>
          <a:ext cx="2461173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F390A46A-3E9F-7B46-BA8D-F20435BCD764}"/>
            </a:ext>
          </a:extLst>
        </xdr:cNvPr>
        <xdr:cNvCxnSpPr/>
      </xdr:nvCxnSpPr>
      <xdr:spPr>
        <a:xfrm>
          <a:off x="13554631172" y="3937000"/>
          <a:ext cx="70506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C3502092-BEE8-2646-A6EC-50D703785056}"/>
            </a:ext>
          </a:extLst>
        </xdr:cNvPr>
        <xdr:cNvCxnSpPr/>
      </xdr:nvCxnSpPr>
      <xdr:spPr>
        <a:xfrm flipH="1">
          <a:off x="13553672104" y="13251793"/>
          <a:ext cx="884620" cy="101599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FEA0EF81-6515-7B4D-8A5A-C91C554BE8F5}"/>
            </a:ext>
          </a:extLst>
        </xdr:cNvPr>
        <xdr:cNvCxnSpPr/>
      </xdr:nvCxnSpPr>
      <xdr:spPr>
        <a:xfrm>
          <a:off x="13554543587" y="13251793"/>
          <a:ext cx="70506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E27D00D-996A-841E-4769-BEA78D925264}"/>
                </a:ext>
              </a:extLst>
            </xdr:cNvPr>
            <xdr:cNvSpPr txBox="1"/>
          </xdr:nvSpPr>
          <xdr:spPr>
            <a:xfrm>
              <a:off x="13552080762" y="14160938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46BB1F6E-7871-7BCC-F3BC-495825D5C1C2}"/>
            </a:ext>
          </a:extLst>
        </xdr:cNvPr>
        <xdr:cNvSpPr/>
      </xdr:nvSpPr>
      <xdr:spPr>
        <a:xfrm>
          <a:off x="13552445897" y="1415831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B5D69F3F-8BF1-3A8F-9534-ED8B421A3E41}"/>
            </a:ext>
          </a:extLst>
        </xdr:cNvPr>
        <xdr:cNvSpPr/>
      </xdr:nvSpPr>
      <xdr:spPr>
        <a:xfrm>
          <a:off x="13555410690" y="1538013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31E0C8AA-DF02-F3C2-5DDD-27D0B360C467}"/>
            </a:ext>
          </a:extLst>
        </xdr:cNvPr>
        <xdr:cNvCxnSpPr/>
      </xdr:nvCxnSpPr>
      <xdr:spPr>
        <a:xfrm flipH="1" flipV="1">
          <a:off x="13553645828" y="13860517"/>
          <a:ext cx="8758" cy="39851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AF2B3BF-9241-69FD-828F-1F68B97DD10E}"/>
                </a:ext>
              </a:extLst>
            </xdr:cNvPr>
            <xdr:cNvSpPr txBox="1"/>
          </xdr:nvSpPr>
          <xdr:spPr>
            <a:xfrm>
              <a:off x="13553355141" y="1367921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13A1A08E-D48E-ACBC-53B4-76E407F58D7C}"/>
            </a:ext>
          </a:extLst>
        </xdr:cNvPr>
        <xdr:cNvSpPr/>
      </xdr:nvSpPr>
      <xdr:spPr>
        <a:xfrm>
          <a:off x="13553567000" y="13457620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F9E62C54-075B-8049-A8A3-D75D552EEC6D}"/>
            </a:ext>
          </a:extLst>
        </xdr:cNvPr>
        <xdr:cNvSpPr/>
      </xdr:nvSpPr>
      <xdr:spPr>
        <a:xfrm>
          <a:off x="13555428207" y="16606344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08ADA3E3-8875-4C5E-6443-3E67BE242EF2}"/>
                </a:ext>
              </a:extLst>
            </xdr:cNvPr>
            <xdr:cNvSpPr txBox="1"/>
          </xdr:nvSpPr>
          <xdr:spPr>
            <a:xfrm>
              <a:off x="13553793072" y="13854387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02ACF252-D669-BD2E-5A3A-ABDAA8B71CA2}"/>
            </a:ext>
          </a:extLst>
        </xdr:cNvPr>
        <xdr:cNvSpPr/>
      </xdr:nvSpPr>
      <xdr:spPr>
        <a:xfrm>
          <a:off x="13553996172" y="13996276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5F25C8CC-867C-4A41-0B92-914EDCD4B990}"/>
            </a:ext>
          </a:extLst>
        </xdr:cNvPr>
        <xdr:cNvSpPr/>
      </xdr:nvSpPr>
      <xdr:spPr>
        <a:xfrm>
          <a:off x="13555415069" y="17420897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B33DC566-1761-3F82-7B21-6E7526A5C5A6}"/>
            </a:ext>
          </a:extLst>
        </xdr:cNvPr>
        <xdr:cNvCxnSpPr/>
      </xdr:nvCxnSpPr>
      <xdr:spPr>
        <a:xfrm flipH="1" flipV="1">
          <a:off x="13554561104" y="13251793"/>
          <a:ext cx="8758" cy="595586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FD9D2C65-788E-2605-13FB-BF0B5D3F9599}"/>
                </a:ext>
              </a:extLst>
            </xdr:cNvPr>
            <xdr:cNvSpPr txBox="1"/>
          </xdr:nvSpPr>
          <xdr:spPr>
            <a:xfrm>
              <a:off x="13554292313" y="138719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77" name="Oval 76">
          <a:extLst>
            <a:ext uri="{FF2B5EF4-FFF2-40B4-BE49-F238E27FC236}">
              <a16:creationId xmlns:a16="http://schemas.microsoft.com/office/drawing/2014/main" id="{82C65116-392E-E2BE-F5B1-2A3479299E5B}"/>
            </a:ext>
          </a:extLst>
        </xdr:cNvPr>
        <xdr:cNvSpPr/>
      </xdr:nvSpPr>
      <xdr:spPr>
        <a:xfrm>
          <a:off x="13554491034" y="14048828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78" name="Oval 77">
          <a:extLst>
            <a:ext uri="{FF2B5EF4-FFF2-40B4-BE49-F238E27FC236}">
              <a16:creationId xmlns:a16="http://schemas.microsoft.com/office/drawing/2014/main" id="{9CE64C6B-DD0F-ECFD-E83D-8D383DB403F9}"/>
            </a:ext>
          </a:extLst>
        </xdr:cNvPr>
        <xdr:cNvSpPr/>
      </xdr:nvSpPr>
      <xdr:spPr>
        <a:xfrm>
          <a:off x="13560144725" y="16615103"/>
          <a:ext cx="170793" cy="2014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2A6D9C91-FE35-5C1C-89BE-00329B795E55}"/>
            </a:ext>
          </a:extLst>
        </xdr:cNvPr>
        <xdr:cNvCxnSpPr/>
      </xdr:nvCxnSpPr>
      <xdr:spPr>
        <a:xfrm>
          <a:off x="13517123773" y="13277273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82" name="Oval 81">
          <a:extLst>
            <a:ext uri="{FF2B5EF4-FFF2-40B4-BE49-F238E27FC236}">
              <a16:creationId xmlns:a16="http://schemas.microsoft.com/office/drawing/2014/main" id="{A26EF935-F56E-CF4D-9A88-9BD5AFF3C9D4}"/>
            </a:ext>
          </a:extLst>
        </xdr:cNvPr>
        <xdr:cNvSpPr/>
      </xdr:nvSpPr>
      <xdr:spPr>
        <a:xfrm>
          <a:off x="13516933870" y="13173165"/>
          <a:ext cx="170793" cy="2020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AF3D5608-1C2E-36A0-B4D2-70781BB021EB}"/>
            </a:ext>
          </a:extLst>
        </xdr:cNvPr>
        <xdr:cNvSpPr/>
      </xdr:nvSpPr>
      <xdr:spPr>
        <a:xfrm>
          <a:off x="13524321369" y="17484196"/>
          <a:ext cx="170793" cy="2020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33</xdr:row>
      <xdr:rowOff>23151</xdr:rowOff>
    </xdr:from>
    <xdr:to>
      <xdr:col>7</xdr:col>
      <xdr:colOff>295275</xdr:colOff>
      <xdr:row>39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35</xdr:row>
      <xdr:rowOff>133350</xdr:rowOff>
    </xdr:from>
    <xdr:to>
      <xdr:col>7</xdr:col>
      <xdr:colOff>787400</xdr:colOff>
      <xdr:row>42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25400</xdr:rowOff>
    </xdr:from>
    <xdr:to>
      <xdr:col>7</xdr:col>
      <xdr:colOff>819597</xdr:colOff>
      <xdr:row>87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245</xdr:row>
      <xdr:rowOff>52916</xdr:rowOff>
    </xdr:from>
    <xdr:to>
      <xdr:col>7</xdr:col>
      <xdr:colOff>524356</xdr:colOff>
      <xdr:row>262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255</xdr:row>
      <xdr:rowOff>105833</xdr:rowOff>
    </xdr:from>
    <xdr:to>
      <xdr:col>7</xdr:col>
      <xdr:colOff>755265</xdr:colOff>
      <xdr:row>255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259</xdr:row>
      <xdr:rowOff>125076</xdr:rowOff>
    </xdr:from>
    <xdr:to>
      <xdr:col>7</xdr:col>
      <xdr:colOff>529166</xdr:colOff>
      <xdr:row>259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253</xdr:row>
      <xdr:rowOff>105834</xdr:rowOff>
    </xdr:from>
    <xdr:to>
      <xdr:col>6</xdr:col>
      <xdr:colOff>303068</xdr:colOff>
      <xdr:row>259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259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253</xdr:row>
      <xdr:rowOff>96213</xdr:rowOff>
    </xdr:from>
    <xdr:to>
      <xdr:col>5</xdr:col>
      <xdr:colOff>399280</xdr:colOff>
      <xdr:row>253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252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253</xdr:row>
      <xdr:rowOff>91402</xdr:rowOff>
    </xdr:from>
    <xdr:to>
      <xdr:col>7</xdr:col>
      <xdr:colOff>457007</xdr:colOff>
      <xdr:row>253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255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256</xdr:row>
      <xdr:rowOff>115456</xdr:rowOff>
    </xdr:from>
    <xdr:to>
      <xdr:col>6</xdr:col>
      <xdr:colOff>331931</xdr:colOff>
      <xdr:row>259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255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253</xdr:row>
      <xdr:rowOff>129887</xdr:rowOff>
    </xdr:from>
    <xdr:to>
      <xdr:col>5</xdr:col>
      <xdr:colOff>351173</xdr:colOff>
      <xdr:row>255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255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347</xdr:row>
      <xdr:rowOff>22780</xdr:rowOff>
    </xdr:from>
    <xdr:to>
      <xdr:col>5</xdr:col>
      <xdr:colOff>597981</xdr:colOff>
      <xdr:row>362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355</xdr:row>
      <xdr:rowOff>102511</xdr:rowOff>
    </xdr:from>
    <xdr:to>
      <xdr:col>6</xdr:col>
      <xdr:colOff>176546</xdr:colOff>
      <xdr:row>355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350</xdr:row>
      <xdr:rowOff>68341</xdr:rowOff>
    </xdr:from>
    <xdr:to>
      <xdr:col>5</xdr:col>
      <xdr:colOff>592287</xdr:colOff>
      <xdr:row>358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349</xdr:row>
      <xdr:rowOff>39866</xdr:rowOff>
    </xdr:from>
    <xdr:to>
      <xdr:col>3</xdr:col>
      <xdr:colOff>410045</xdr:colOff>
      <xdr:row>358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358</xdr:row>
      <xdr:rowOff>11390</xdr:rowOff>
    </xdr:from>
    <xdr:to>
      <xdr:col>4</xdr:col>
      <xdr:colOff>347399</xdr:colOff>
      <xdr:row>358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349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355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355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354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354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357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355</xdr:row>
      <xdr:rowOff>105139</xdr:rowOff>
    </xdr:from>
    <xdr:to>
      <xdr:col>4</xdr:col>
      <xdr:colOff>361115</xdr:colOff>
      <xdr:row>358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355</xdr:row>
      <xdr:rowOff>133615</xdr:rowOff>
    </xdr:from>
    <xdr:to>
      <xdr:col>3</xdr:col>
      <xdr:colOff>435151</xdr:colOff>
      <xdr:row>358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426</xdr:row>
      <xdr:rowOff>22780</xdr:rowOff>
    </xdr:from>
    <xdr:to>
      <xdr:col>5</xdr:col>
      <xdr:colOff>597981</xdr:colOff>
      <xdr:row>441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434</xdr:row>
      <xdr:rowOff>102511</xdr:rowOff>
    </xdr:from>
    <xdr:to>
      <xdr:col>6</xdr:col>
      <xdr:colOff>176546</xdr:colOff>
      <xdr:row>434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430</xdr:row>
      <xdr:rowOff>31978</xdr:rowOff>
    </xdr:from>
    <xdr:to>
      <xdr:col>4</xdr:col>
      <xdr:colOff>341704</xdr:colOff>
      <xdr:row>437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430</xdr:row>
      <xdr:rowOff>27410</xdr:rowOff>
    </xdr:from>
    <xdr:to>
      <xdr:col>3</xdr:col>
      <xdr:colOff>557338</xdr:colOff>
      <xdr:row>436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434</xdr:row>
      <xdr:rowOff>155324</xdr:rowOff>
    </xdr:from>
    <xdr:to>
      <xdr:col>4</xdr:col>
      <xdr:colOff>351763</xdr:colOff>
      <xdr:row>437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437</xdr:row>
      <xdr:rowOff>9137</xdr:rowOff>
    </xdr:from>
    <xdr:to>
      <xdr:col>5</xdr:col>
      <xdr:colOff>575611</xdr:colOff>
      <xdr:row>437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436</xdr:row>
      <xdr:rowOff>196440</xdr:rowOff>
    </xdr:from>
    <xdr:to>
      <xdr:col>2</xdr:col>
      <xdr:colOff>671547</xdr:colOff>
      <xdr:row>436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433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434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430</xdr:row>
      <xdr:rowOff>59388</xdr:rowOff>
    </xdr:from>
    <xdr:to>
      <xdr:col>3</xdr:col>
      <xdr:colOff>552769</xdr:colOff>
      <xdr:row>434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433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434</xdr:row>
      <xdr:rowOff>127913</xdr:rowOff>
    </xdr:from>
    <xdr:to>
      <xdr:col>2</xdr:col>
      <xdr:colOff>653274</xdr:colOff>
      <xdr:row>436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436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430</xdr:row>
      <xdr:rowOff>45684</xdr:rowOff>
    </xdr:from>
    <xdr:to>
      <xdr:col>5</xdr:col>
      <xdr:colOff>589316</xdr:colOff>
      <xdr:row>430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429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434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434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460</xdr:row>
      <xdr:rowOff>22780</xdr:rowOff>
    </xdr:from>
    <xdr:to>
      <xdr:col>5</xdr:col>
      <xdr:colOff>597981</xdr:colOff>
      <xdr:row>481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468</xdr:row>
      <xdr:rowOff>102511</xdr:rowOff>
    </xdr:from>
    <xdr:to>
      <xdr:col>6</xdr:col>
      <xdr:colOff>176546</xdr:colOff>
      <xdr:row>468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464</xdr:row>
      <xdr:rowOff>27410</xdr:rowOff>
    </xdr:from>
    <xdr:to>
      <xdr:col>5</xdr:col>
      <xdr:colOff>580179</xdr:colOff>
      <xdr:row>480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589622087" y="95192743"/>
          <a:ext cx="3433142" cy="3301452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252</xdr:row>
      <xdr:rowOff>160866</xdr:rowOff>
    </xdr:from>
    <xdr:to>
      <xdr:col>4</xdr:col>
      <xdr:colOff>601133</xdr:colOff>
      <xdr:row>262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258</xdr:row>
      <xdr:rowOff>110066</xdr:rowOff>
    </xdr:from>
    <xdr:to>
      <xdr:col>5</xdr:col>
      <xdr:colOff>313266</xdr:colOff>
      <xdr:row>258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254</xdr:row>
      <xdr:rowOff>110066</xdr:rowOff>
    </xdr:from>
    <xdr:to>
      <xdr:col>4</xdr:col>
      <xdr:colOff>609600</xdr:colOff>
      <xdr:row>254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254</xdr:row>
      <xdr:rowOff>110066</xdr:rowOff>
    </xdr:from>
    <xdr:to>
      <xdr:col>3</xdr:col>
      <xdr:colOff>761999</xdr:colOff>
      <xdr:row>260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260</xdr:row>
      <xdr:rowOff>93132</xdr:rowOff>
    </xdr:from>
    <xdr:to>
      <xdr:col>3</xdr:col>
      <xdr:colOff>152399</xdr:colOff>
      <xdr:row>260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254</xdr:row>
      <xdr:rowOff>134867</xdr:rowOff>
    </xdr:from>
    <xdr:to>
      <xdr:col>3</xdr:col>
      <xdr:colOff>786725</xdr:colOff>
      <xdr:row>258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258</xdr:row>
      <xdr:rowOff>129248</xdr:rowOff>
    </xdr:from>
    <xdr:to>
      <xdr:col>4</xdr:col>
      <xdr:colOff>275354</xdr:colOff>
      <xdr:row>259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257</xdr:row>
      <xdr:rowOff>129248</xdr:rowOff>
    </xdr:from>
    <xdr:to>
      <xdr:col>3</xdr:col>
      <xdr:colOff>354027</xdr:colOff>
      <xdr:row>258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151726</xdr:rowOff>
    </xdr:from>
    <xdr:to>
      <xdr:col>3</xdr:col>
      <xdr:colOff>146106</xdr:colOff>
      <xdr:row>260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254</xdr:row>
      <xdr:rowOff>33717</xdr:rowOff>
    </xdr:from>
    <xdr:to>
      <xdr:col>5</xdr:col>
      <xdr:colOff>588694</xdr:colOff>
      <xdr:row>261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257</xdr:row>
      <xdr:rowOff>36639</xdr:rowOff>
    </xdr:from>
    <xdr:to>
      <xdr:col>6</xdr:col>
      <xdr:colOff>244278</xdr:colOff>
      <xdr:row>258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261</xdr:row>
      <xdr:rowOff>118008</xdr:rowOff>
    </xdr:from>
    <xdr:to>
      <xdr:col>3</xdr:col>
      <xdr:colOff>792345</xdr:colOff>
      <xdr:row>261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261</xdr:row>
      <xdr:rowOff>157345</xdr:rowOff>
    </xdr:from>
    <xdr:to>
      <xdr:col>3</xdr:col>
      <xdr:colOff>713673</xdr:colOff>
      <xdr:row>262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5</xdr:row>
      <xdr:rowOff>82550</xdr:rowOff>
    </xdr:from>
    <xdr:to>
      <xdr:col>7</xdr:col>
      <xdr:colOff>786229</xdr:colOff>
      <xdr:row>13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290</xdr:row>
      <xdr:rowOff>31750</xdr:rowOff>
    </xdr:from>
    <xdr:to>
      <xdr:col>5</xdr:col>
      <xdr:colOff>692150</xdr:colOff>
      <xdr:row>300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296</xdr:row>
      <xdr:rowOff>82550</xdr:rowOff>
    </xdr:from>
    <xdr:to>
      <xdr:col>6</xdr:col>
      <xdr:colOff>361950</xdr:colOff>
      <xdr:row>296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296</xdr:row>
      <xdr:rowOff>127000</xdr:rowOff>
    </xdr:from>
    <xdr:to>
      <xdr:col>5</xdr:col>
      <xdr:colOff>673100</xdr:colOff>
      <xdr:row>296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290</xdr:row>
      <xdr:rowOff>25400</xdr:rowOff>
    </xdr:from>
    <xdr:to>
      <xdr:col>4</xdr:col>
      <xdr:colOff>431800</xdr:colOff>
      <xdr:row>296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64</xdr:row>
      <xdr:rowOff>55756</xdr:rowOff>
    </xdr:from>
    <xdr:to>
      <xdr:col>5</xdr:col>
      <xdr:colOff>631902</xdr:colOff>
      <xdr:row>78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71</xdr:row>
      <xdr:rowOff>117707</xdr:rowOff>
    </xdr:from>
    <xdr:to>
      <xdr:col>6</xdr:col>
      <xdr:colOff>291171</xdr:colOff>
      <xdr:row>71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66</xdr:row>
      <xdr:rowOff>117707</xdr:rowOff>
    </xdr:from>
    <xdr:to>
      <xdr:col>5</xdr:col>
      <xdr:colOff>638097</xdr:colOff>
      <xdr:row>73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73</xdr:row>
      <xdr:rowOff>136293</xdr:rowOff>
    </xdr:from>
    <xdr:to>
      <xdr:col>4</xdr:col>
      <xdr:colOff>297366</xdr:colOff>
      <xdr:row>73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66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71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70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70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65</xdr:row>
      <xdr:rowOff>154878</xdr:rowOff>
    </xdr:from>
    <xdr:to>
      <xdr:col>3</xdr:col>
      <xdr:colOff>371708</xdr:colOff>
      <xdr:row>73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71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73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73</xdr:row>
      <xdr:rowOff>130098</xdr:rowOff>
    </xdr:from>
    <xdr:to>
      <xdr:col>5</xdr:col>
      <xdr:colOff>588536</xdr:colOff>
      <xdr:row>73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71</xdr:row>
      <xdr:rowOff>173463</xdr:rowOff>
    </xdr:from>
    <xdr:to>
      <xdr:col>4</xdr:col>
      <xdr:colOff>303561</xdr:colOff>
      <xdr:row>73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71</xdr:row>
      <xdr:rowOff>198244</xdr:rowOff>
    </xdr:from>
    <xdr:to>
      <xdr:col>3</xdr:col>
      <xdr:colOff>427463</xdr:colOff>
      <xdr:row>73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178</xdr:row>
      <xdr:rowOff>123902</xdr:rowOff>
    </xdr:from>
    <xdr:to>
      <xdr:col>4</xdr:col>
      <xdr:colOff>675269</xdr:colOff>
      <xdr:row>192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185</xdr:row>
      <xdr:rowOff>130097</xdr:rowOff>
    </xdr:from>
    <xdr:to>
      <xdr:col>5</xdr:col>
      <xdr:colOff>328342</xdr:colOff>
      <xdr:row>185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181</xdr:row>
      <xdr:rowOff>55756</xdr:rowOff>
    </xdr:from>
    <xdr:to>
      <xdr:col>4</xdr:col>
      <xdr:colOff>675269</xdr:colOff>
      <xdr:row>181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181</xdr:row>
      <xdr:rowOff>55756</xdr:rowOff>
    </xdr:from>
    <xdr:to>
      <xdr:col>3</xdr:col>
      <xdr:colOff>563756</xdr:colOff>
      <xdr:row>190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190</xdr:row>
      <xdr:rowOff>99123</xdr:rowOff>
    </xdr:from>
    <xdr:to>
      <xdr:col>2</xdr:col>
      <xdr:colOff>384098</xdr:colOff>
      <xdr:row>190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180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189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185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184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184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181</xdr:row>
      <xdr:rowOff>74341</xdr:rowOff>
    </xdr:from>
    <xdr:to>
      <xdr:col>3</xdr:col>
      <xdr:colOff>563756</xdr:colOff>
      <xdr:row>185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185</xdr:row>
      <xdr:rowOff>154878</xdr:rowOff>
    </xdr:from>
    <xdr:to>
      <xdr:col>2</xdr:col>
      <xdr:colOff>371707</xdr:colOff>
      <xdr:row>190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94</xdr:row>
      <xdr:rowOff>72967</xdr:rowOff>
    </xdr:from>
    <xdr:to>
      <xdr:col>5</xdr:col>
      <xdr:colOff>360886</xdr:colOff>
      <xdr:row>95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94</xdr:row>
      <xdr:rowOff>45358</xdr:rowOff>
    </xdr:from>
    <xdr:to>
      <xdr:col>3</xdr:col>
      <xdr:colOff>364831</xdr:colOff>
      <xdr:row>95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96</xdr:row>
      <xdr:rowOff>7888</xdr:rowOff>
    </xdr:from>
    <xdr:to>
      <xdr:col>5</xdr:col>
      <xdr:colOff>157764</xdr:colOff>
      <xdr:row>97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97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96</xdr:row>
      <xdr:rowOff>0</xdr:rowOff>
    </xdr:from>
    <xdr:to>
      <xdr:col>3</xdr:col>
      <xdr:colOff>169596</xdr:colOff>
      <xdr:row>97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97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96</xdr:row>
      <xdr:rowOff>11832</xdr:rowOff>
    </xdr:from>
    <xdr:to>
      <xdr:col>4</xdr:col>
      <xdr:colOff>579781</xdr:colOff>
      <xdr:row>97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97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97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95</xdr:row>
      <xdr:rowOff>193260</xdr:rowOff>
    </xdr:from>
    <xdr:to>
      <xdr:col>2</xdr:col>
      <xdr:colOff>508788</xdr:colOff>
      <xdr:row>97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95</xdr:row>
      <xdr:rowOff>177483</xdr:rowOff>
    </xdr:from>
    <xdr:to>
      <xdr:col>4</xdr:col>
      <xdr:colOff>145930</xdr:colOff>
      <xdr:row>99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95</xdr:row>
      <xdr:rowOff>201147</xdr:rowOff>
    </xdr:from>
    <xdr:to>
      <xdr:col>2</xdr:col>
      <xdr:colOff>153819</xdr:colOff>
      <xdr:row>99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95</xdr:row>
      <xdr:rowOff>185371</xdr:rowOff>
    </xdr:from>
    <xdr:to>
      <xdr:col>3</xdr:col>
      <xdr:colOff>638942</xdr:colOff>
      <xdr:row>99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95</xdr:row>
      <xdr:rowOff>173539</xdr:rowOff>
    </xdr:from>
    <xdr:to>
      <xdr:col>1</xdr:col>
      <xdr:colOff>619222</xdr:colOff>
      <xdr:row>99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108</xdr:row>
      <xdr:rowOff>33073</xdr:rowOff>
    </xdr:from>
    <xdr:to>
      <xdr:col>7</xdr:col>
      <xdr:colOff>447326</xdr:colOff>
      <xdr:row>109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108</xdr:row>
      <xdr:rowOff>66321</xdr:rowOff>
    </xdr:from>
    <xdr:to>
      <xdr:col>5</xdr:col>
      <xdr:colOff>527117</xdr:colOff>
      <xdr:row>109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110</xdr:row>
      <xdr:rowOff>41134</xdr:rowOff>
    </xdr:from>
    <xdr:to>
      <xdr:col>7</xdr:col>
      <xdr:colOff>350591</xdr:colOff>
      <xdr:row>111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110</xdr:row>
      <xdr:rowOff>34485</xdr:rowOff>
    </xdr:from>
    <xdr:to>
      <xdr:col>7</xdr:col>
      <xdr:colOff>77973</xdr:colOff>
      <xdr:row>111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111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110</xdr:row>
      <xdr:rowOff>31160</xdr:rowOff>
    </xdr:from>
    <xdr:to>
      <xdr:col>6</xdr:col>
      <xdr:colOff>516821</xdr:colOff>
      <xdr:row>114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110</xdr:row>
      <xdr:rowOff>11211</xdr:rowOff>
    </xdr:from>
    <xdr:to>
      <xdr:col>6</xdr:col>
      <xdr:colOff>77973</xdr:colOff>
      <xdr:row>112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109</xdr:row>
      <xdr:rowOff>177442</xdr:rowOff>
    </xdr:from>
    <xdr:to>
      <xdr:col>5</xdr:col>
      <xdr:colOff>433707</xdr:colOff>
      <xdr:row>111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111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110</xdr:row>
      <xdr:rowOff>1237</xdr:rowOff>
    </xdr:from>
    <xdr:to>
      <xdr:col>5</xdr:col>
      <xdr:colOff>157765</xdr:colOff>
      <xdr:row>113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109</xdr:row>
      <xdr:rowOff>177442</xdr:rowOff>
    </xdr:from>
    <xdr:to>
      <xdr:col>4</xdr:col>
      <xdr:colOff>606587</xdr:colOff>
      <xdr:row>111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109</xdr:row>
      <xdr:rowOff>190740</xdr:rowOff>
    </xdr:from>
    <xdr:to>
      <xdr:col>4</xdr:col>
      <xdr:colOff>154441</xdr:colOff>
      <xdr:row>111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190</xdr:row>
      <xdr:rowOff>67434</xdr:rowOff>
    </xdr:from>
    <xdr:to>
      <xdr:col>4</xdr:col>
      <xdr:colOff>606903</xdr:colOff>
      <xdr:row>190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179</xdr:row>
      <xdr:rowOff>73054</xdr:rowOff>
    </xdr:from>
    <xdr:to>
      <xdr:col>2</xdr:col>
      <xdr:colOff>179823</xdr:colOff>
      <xdr:row>182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187</xdr:row>
      <xdr:rowOff>44955</xdr:rowOff>
    </xdr:from>
    <xdr:to>
      <xdr:col>4</xdr:col>
      <xdr:colOff>511371</xdr:colOff>
      <xdr:row>189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94175361" y="18397282"/>
          <a:ext cx="95159" cy="258778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42" t="s">
        <v>0</v>
      </c>
      <c r="B1" s="342"/>
      <c r="C1" s="342"/>
      <c r="D1" s="342"/>
      <c r="E1" s="342"/>
      <c r="F1" s="342"/>
      <c r="G1" s="342"/>
      <c r="H1" s="342"/>
    </row>
    <row r="2" spans="1:8" x14ac:dyDescent="0.2">
      <c r="A2" s="342" t="s">
        <v>1</v>
      </c>
      <c r="B2" s="342"/>
      <c r="C2" s="342"/>
      <c r="D2" s="342"/>
      <c r="E2" s="342"/>
      <c r="F2" s="342"/>
      <c r="G2" s="342"/>
      <c r="H2" s="342"/>
    </row>
    <row r="3" spans="1:8" x14ac:dyDescent="0.2">
      <c r="A3" s="342" t="s">
        <v>2087</v>
      </c>
      <c r="B3" s="342"/>
      <c r="C3" s="342"/>
      <c r="D3" s="342"/>
      <c r="E3" s="342"/>
      <c r="F3" s="342"/>
      <c r="G3" s="342"/>
      <c r="H3" s="342"/>
    </row>
    <row r="4" spans="1:8" x14ac:dyDescent="0.2">
      <c r="A4" s="342" t="s">
        <v>2088</v>
      </c>
      <c r="B4" s="342"/>
      <c r="C4" s="342"/>
      <c r="D4" s="342"/>
      <c r="E4" s="342"/>
      <c r="F4" s="342"/>
      <c r="G4" s="342"/>
      <c r="H4" s="342"/>
    </row>
    <row r="5" spans="1:8" x14ac:dyDescent="0.2">
      <c r="A5" s="342" t="s">
        <v>2089</v>
      </c>
      <c r="B5" s="342"/>
      <c r="C5" s="342"/>
      <c r="D5" s="342"/>
      <c r="E5" s="342"/>
      <c r="F5" s="342"/>
      <c r="G5" s="342"/>
      <c r="H5" s="342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zoomScale="332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1536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411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381</v>
      </c>
      <c r="B5" s="212" t="s">
        <v>1387</v>
      </c>
      <c r="C5" s="212"/>
      <c r="D5" s="212"/>
      <c r="E5" s="212"/>
      <c r="F5" s="212"/>
      <c r="G5" s="212"/>
      <c r="H5" s="213"/>
    </row>
    <row r="6" spans="1:8" x14ac:dyDescent="0.2">
      <c r="A6" s="64"/>
      <c r="B6" s="214" t="s">
        <v>1388</v>
      </c>
      <c r="H6" s="42"/>
    </row>
    <row r="7" spans="1:8" x14ac:dyDescent="0.2">
      <c r="A7" s="64"/>
      <c r="B7" s="212" t="s">
        <v>1384</v>
      </c>
      <c r="C7" s="212" t="s">
        <v>464</v>
      </c>
      <c r="H7" s="42"/>
    </row>
    <row r="8" spans="1:8" x14ac:dyDescent="0.2">
      <c r="A8" s="64"/>
      <c r="B8" s="214" t="s">
        <v>1385</v>
      </c>
      <c r="C8" s="214" t="s">
        <v>464</v>
      </c>
      <c r="H8" s="42"/>
    </row>
    <row r="9" spans="1:8" x14ac:dyDescent="0.2">
      <c r="A9" s="64"/>
      <c r="H9" s="42"/>
    </row>
    <row r="10" spans="1:8" x14ac:dyDescent="0.2">
      <c r="A10" s="64" t="s">
        <v>383</v>
      </c>
      <c r="B10" s="1" t="s">
        <v>1389</v>
      </c>
      <c r="H10" s="42"/>
    </row>
    <row r="11" spans="1:8" x14ac:dyDescent="0.2">
      <c r="A11" s="64"/>
      <c r="B11" s="1" t="s">
        <v>1390</v>
      </c>
      <c r="H11" s="42"/>
    </row>
    <row r="12" spans="1:8" x14ac:dyDescent="0.2">
      <c r="A12" s="64"/>
      <c r="H12" s="42"/>
    </row>
    <row r="13" spans="1:8" x14ac:dyDescent="0.2">
      <c r="A13" s="64" t="s">
        <v>385</v>
      </c>
      <c r="B13" s="1" t="s">
        <v>1391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386</v>
      </c>
      <c r="B15" s="44" t="s">
        <v>412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1445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2515</v>
      </c>
    </row>
    <row r="20" spans="1:21" x14ac:dyDescent="0.2">
      <c r="A20" s="62" t="s">
        <v>1395</v>
      </c>
      <c r="F20" s="97" t="s">
        <v>1384</v>
      </c>
      <c r="G20" s="40" t="s">
        <v>464</v>
      </c>
    </row>
    <row r="21" spans="1:21" ht="17" thickBot="1" x14ac:dyDescent="0.25">
      <c r="A21" s="62"/>
      <c r="C21" s="21" t="s">
        <v>1392</v>
      </c>
      <c r="F21" s="43" t="s">
        <v>1385</v>
      </c>
      <c r="G21" s="45" t="s">
        <v>464</v>
      </c>
    </row>
    <row r="22" spans="1:21" x14ac:dyDescent="0.2">
      <c r="A22" s="62"/>
      <c r="B22" s="75" t="s">
        <v>389</v>
      </c>
      <c r="C22" s="75" t="s">
        <v>415</v>
      </c>
    </row>
    <row r="23" spans="1:21" x14ac:dyDescent="0.2">
      <c r="A23" s="62"/>
      <c r="B23" s="21" t="s">
        <v>416</v>
      </c>
      <c r="C23" s="21">
        <v>20</v>
      </c>
      <c r="F23" s="1" t="s">
        <v>343</v>
      </c>
    </row>
    <row r="24" spans="1:21" x14ac:dyDescent="0.2">
      <c r="A24" s="62"/>
      <c r="B24" s="21" t="s">
        <v>417</v>
      </c>
      <c r="C24" s="21">
        <v>22</v>
      </c>
      <c r="F24" s="1" t="s">
        <v>1393</v>
      </c>
    </row>
    <row r="25" spans="1:21" x14ac:dyDescent="0.2">
      <c r="A25" s="62"/>
      <c r="B25" s="60" t="s">
        <v>418</v>
      </c>
      <c r="C25" s="60">
        <v>8</v>
      </c>
      <c r="F25" s="1" t="s">
        <v>1394</v>
      </c>
    </row>
    <row r="26" spans="1:21" x14ac:dyDescent="0.2">
      <c r="A26" s="62"/>
      <c r="B26" s="21" t="s">
        <v>419</v>
      </c>
      <c r="C26" s="21">
        <v>31</v>
      </c>
      <c r="F26" s="1" t="s">
        <v>1396</v>
      </c>
    </row>
    <row r="27" spans="1:21" x14ac:dyDescent="0.2">
      <c r="A27" s="62"/>
      <c r="B27" s="21" t="s">
        <v>420</v>
      </c>
      <c r="C27" s="21">
        <v>33</v>
      </c>
      <c r="F27" s="1" t="s">
        <v>1397</v>
      </c>
    </row>
    <row r="28" spans="1:21" x14ac:dyDescent="0.2">
      <c r="A28" s="62"/>
      <c r="B28" s="60" t="s">
        <v>421</v>
      </c>
      <c r="C28" s="60">
        <v>10</v>
      </c>
    </row>
    <row r="29" spans="1:21" x14ac:dyDescent="0.2">
      <c r="A29" s="62"/>
    </row>
    <row r="30" spans="1:21" x14ac:dyDescent="0.2">
      <c r="A30" s="62" t="s">
        <v>403</v>
      </c>
    </row>
    <row r="31" spans="1:21" x14ac:dyDescent="0.2">
      <c r="A31" s="62" t="s">
        <v>1386</v>
      </c>
      <c r="U31" s="147" t="s">
        <v>1400</v>
      </c>
    </row>
    <row r="32" spans="1:21" x14ac:dyDescent="0.2">
      <c r="A32" s="62" t="s">
        <v>1398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2516</v>
      </c>
    </row>
    <row r="35" spans="1:27" ht="17" thickBot="1" x14ac:dyDescent="0.25">
      <c r="A35" s="95"/>
      <c r="H35" s="42"/>
      <c r="W35" s="4" t="s">
        <v>1433</v>
      </c>
    </row>
    <row r="36" spans="1:27" x14ac:dyDescent="0.2">
      <c r="A36" s="95"/>
      <c r="C36" s="21"/>
      <c r="D36" s="358"/>
      <c r="E36" s="359"/>
      <c r="H36" s="42"/>
      <c r="W36" s="4" t="s">
        <v>1427</v>
      </c>
      <c r="Y36" s="21" t="s">
        <v>280</v>
      </c>
    </row>
    <row r="37" spans="1:27" x14ac:dyDescent="0.2">
      <c r="A37" s="95"/>
      <c r="B37" s="21" t="s">
        <v>2517</v>
      </c>
      <c r="C37" s="21" t="s">
        <v>2520</v>
      </c>
      <c r="D37" s="356"/>
      <c r="E37" s="360"/>
      <c r="H37" s="42"/>
      <c r="W37" s="4" t="s">
        <v>1428</v>
      </c>
    </row>
    <row r="38" spans="1:27" x14ac:dyDescent="0.2">
      <c r="A38" s="95"/>
      <c r="B38" s="21" t="s">
        <v>2518</v>
      </c>
      <c r="C38" s="21" t="s">
        <v>2521</v>
      </c>
      <c r="D38" s="356"/>
      <c r="E38" s="360"/>
      <c r="H38" s="42"/>
      <c r="W38" s="4" t="s">
        <v>1429</v>
      </c>
      <c r="AA38" s="1" t="s">
        <v>1407</v>
      </c>
    </row>
    <row r="39" spans="1:27" x14ac:dyDescent="0.2">
      <c r="A39" s="215" t="s">
        <v>1282</v>
      </c>
      <c r="B39" s="21" t="s">
        <v>2519</v>
      </c>
      <c r="C39" s="21" t="s">
        <v>2519</v>
      </c>
      <c r="D39" s="356"/>
      <c r="E39" s="360"/>
      <c r="F39" s="21" t="s">
        <v>2524</v>
      </c>
      <c r="H39" s="42"/>
      <c r="W39" s="4" t="s">
        <v>1430</v>
      </c>
      <c r="AA39" s="1" t="s">
        <v>1408</v>
      </c>
    </row>
    <row r="40" spans="1:27" x14ac:dyDescent="0.2">
      <c r="A40" s="216" t="s">
        <v>1399</v>
      </c>
      <c r="B40" s="21" t="s">
        <v>239</v>
      </c>
      <c r="C40" s="21" t="s">
        <v>239</v>
      </c>
      <c r="D40" s="217" t="s">
        <v>422</v>
      </c>
      <c r="E40" s="218" t="s">
        <v>423</v>
      </c>
      <c r="F40" s="356" t="s">
        <v>2525</v>
      </c>
      <c r="G40" s="343"/>
      <c r="H40" s="42"/>
      <c r="W40" s="4" t="s">
        <v>1431</v>
      </c>
      <c r="AA40" s="1" t="s">
        <v>1409</v>
      </c>
    </row>
    <row r="41" spans="1:27" x14ac:dyDescent="0.2">
      <c r="A41" s="80" t="s">
        <v>71</v>
      </c>
      <c r="B41" s="75" t="s">
        <v>418</v>
      </c>
      <c r="C41" s="81" t="s">
        <v>421</v>
      </c>
      <c r="D41" s="106" t="s">
        <v>2522</v>
      </c>
      <c r="E41" s="173" t="s">
        <v>2523</v>
      </c>
      <c r="F41" s="81"/>
      <c r="H41" s="42"/>
      <c r="M41" s="21" t="s">
        <v>280</v>
      </c>
      <c r="W41" s="4" t="s">
        <v>1432</v>
      </c>
      <c r="AA41" s="1" t="s">
        <v>1410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74">
        <f>C42-10</f>
        <v>30</v>
      </c>
      <c r="F42" s="333">
        <f t="shared" ref="F42:F47" si="0">D42+E42</f>
        <v>22</v>
      </c>
      <c r="H42" s="42"/>
      <c r="AA42" s="1" t="s">
        <v>1411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74">
        <f t="shared" ref="E43:E52" si="4">C43-10</f>
        <v>20</v>
      </c>
      <c r="F43" s="82">
        <f t="shared" si="0"/>
        <v>12</v>
      </c>
      <c r="H43" s="42"/>
      <c r="AA43" s="1" t="s">
        <v>1412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74">
        <f t="shared" si="4"/>
        <v>10</v>
      </c>
      <c r="F44" s="82">
        <f t="shared" si="0"/>
        <v>2</v>
      </c>
      <c r="H44" s="42"/>
      <c r="AA44" s="1" t="s">
        <v>1413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74">
        <f t="shared" si="4"/>
        <v>0</v>
      </c>
      <c r="F45" s="82">
        <f t="shared" si="0"/>
        <v>-8</v>
      </c>
      <c r="H45" s="42"/>
      <c r="AA45" s="1" t="s">
        <v>1414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74">
        <f t="shared" si="4"/>
        <v>-10</v>
      </c>
      <c r="F46" s="219">
        <f t="shared" si="0"/>
        <v>-18</v>
      </c>
      <c r="H46" s="42"/>
      <c r="U46" s="21" t="s">
        <v>71</v>
      </c>
      <c r="AA46" s="1" t="s">
        <v>1415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74">
        <f t="shared" si="4"/>
        <v>-10</v>
      </c>
      <c r="F47" s="82">
        <f t="shared" si="0"/>
        <v>-18</v>
      </c>
      <c r="H47" s="42"/>
      <c r="Y47" s="104">
        <v>0</v>
      </c>
      <c r="AA47" s="1" t="s">
        <v>1416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74">
        <f t="shared" si="4"/>
        <v>-10</v>
      </c>
      <c r="F48" s="82">
        <f t="shared" ref="F48:F52" si="5">D48+E48</f>
        <v>-18</v>
      </c>
      <c r="H48" s="42"/>
      <c r="AA48" s="1" t="s">
        <v>1417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74">
        <f t="shared" si="4"/>
        <v>-10</v>
      </c>
      <c r="F49" s="82">
        <f t="shared" si="5"/>
        <v>-8</v>
      </c>
      <c r="H49" s="42"/>
      <c r="I49" s="21" t="s">
        <v>71</v>
      </c>
      <c r="AA49" s="1" t="s">
        <v>1418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74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74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5">
        <f t="shared" si="3"/>
        <v>32</v>
      </c>
      <c r="E52" s="176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1401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2528</v>
      </c>
      <c r="V55" s="1" t="s">
        <v>1402</v>
      </c>
    </row>
    <row r="56" spans="1:27" x14ac:dyDescent="0.2">
      <c r="A56" s="64"/>
      <c r="H56" s="42"/>
      <c r="I56" s="1" t="s">
        <v>2526</v>
      </c>
      <c r="V56" s="1" t="s">
        <v>1403</v>
      </c>
    </row>
    <row r="57" spans="1:27" x14ac:dyDescent="0.2">
      <c r="A57" s="64"/>
      <c r="H57" s="42"/>
      <c r="I57" s="1" t="s">
        <v>2527</v>
      </c>
    </row>
    <row r="58" spans="1:27" x14ac:dyDescent="0.2">
      <c r="A58" s="64"/>
      <c r="H58" s="42"/>
      <c r="J58" s="1" t="s">
        <v>2529</v>
      </c>
      <c r="V58" s="1" t="s">
        <v>1404</v>
      </c>
    </row>
    <row r="59" spans="1:27" x14ac:dyDescent="0.2">
      <c r="A59" s="64"/>
      <c r="H59" s="42"/>
      <c r="J59" s="1" t="s">
        <v>2530</v>
      </c>
      <c r="V59" s="1" t="s">
        <v>1405</v>
      </c>
    </row>
    <row r="60" spans="1:27" x14ac:dyDescent="0.2">
      <c r="A60" s="64"/>
      <c r="H60" s="42"/>
      <c r="J60" s="1" t="s">
        <v>2531</v>
      </c>
    </row>
    <row r="61" spans="1:27" x14ac:dyDescent="0.2">
      <c r="A61" s="64"/>
      <c r="H61" s="42"/>
      <c r="I61" s="1" t="s">
        <v>2532</v>
      </c>
      <c r="V61" s="1" t="s">
        <v>1406</v>
      </c>
    </row>
    <row r="62" spans="1:27" x14ac:dyDescent="0.2">
      <c r="A62" s="64"/>
      <c r="H62" s="42"/>
      <c r="I62" s="1" t="s">
        <v>2533</v>
      </c>
    </row>
    <row r="63" spans="1:27" x14ac:dyDescent="0.2">
      <c r="A63" s="64"/>
      <c r="H63" s="42"/>
      <c r="V63" s="1" t="s">
        <v>1419</v>
      </c>
    </row>
    <row r="64" spans="1:27" x14ac:dyDescent="0.2">
      <c r="A64" s="64"/>
      <c r="H64" s="42"/>
      <c r="V64" s="1" t="s">
        <v>1420</v>
      </c>
    </row>
    <row r="65" spans="1:22" x14ac:dyDescent="0.2">
      <c r="A65" s="64"/>
      <c r="H65" s="42"/>
      <c r="V65" s="1" t="s">
        <v>1421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1422</v>
      </c>
    </row>
    <row r="67" spans="1:22" ht="17" thickBot="1" x14ac:dyDescent="0.25">
      <c r="A67" s="62"/>
      <c r="V67" s="1" t="s">
        <v>1423</v>
      </c>
    </row>
    <row r="68" spans="1:22" ht="17" thickBot="1" x14ac:dyDescent="0.25">
      <c r="A68" s="248" t="s">
        <v>2534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2535</v>
      </c>
    </row>
    <row r="70" spans="1:22" x14ac:dyDescent="0.2">
      <c r="A70" s="62" t="s">
        <v>2536</v>
      </c>
      <c r="F70" s="97" t="s">
        <v>1384</v>
      </c>
      <c r="G70" s="40" t="s">
        <v>464</v>
      </c>
    </row>
    <row r="71" spans="1:22" ht="17" thickBot="1" x14ac:dyDescent="0.25">
      <c r="A71" s="62"/>
      <c r="C71" s="21" t="s">
        <v>1392</v>
      </c>
      <c r="F71" s="43" t="s">
        <v>1385</v>
      </c>
      <c r="G71" s="45" t="s">
        <v>464</v>
      </c>
    </row>
    <row r="72" spans="1:22" x14ac:dyDescent="0.2">
      <c r="A72" s="62"/>
      <c r="B72" s="75" t="s">
        <v>389</v>
      </c>
      <c r="C72" s="75" t="s">
        <v>415</v>
      </c>
    </row>
    <row r="73" spans="1:22" x14ac:dyDescent="0.2">
      <c r="A73" s="62"/>
      <c r="B73" s="21" t="s">
        <v>2537</v>
      </c>
      <c r="C73" s="21">
        <v>35</v>
      </c>
      <c r="F73" s="1" t="s">
        <v>343</v>
      </c>
    </row>
    <row r="74" spans="1:22" x14ac:dyDescent="0.2">
      <c r="A74" s="62"/>
      <c r="B74" s="21" t="s">
        <v>454</v>
      </c>
      <c r="C74" s="21">
        <v>25</v>
      </c>
      <c r="F74" s="1" t="s">
        <v>1393</v>
      </c>
    </row>
    <row r="75" spans="1:22" x14ac:dyDescent="0.2">
      <c r="A75" s="62"/>
      <c r="B75" s="21" t="s">
        <v>2538</v>
      </c>
      <c r="C75" s="21">
        <v>15</v>
      </c>
      <c r="F75" s="1" t="s">
        <v>1394</v>
      </c>
    </row>
    <row r="76" spans="1:22" x14ac:dyDescent="0.2">
      <c r="A76" s="62"/>
      <c r="B76" s="21" t="s">
        <v>2539</v>
      </c>
      <c r="C76" s="21">
        <v>5</v>
      </c>
      <c r="F76" s="1" t="s">
        <v>1396</v>
      </c>
    </row>
    <row r="77" spans="1:22" x14ac:dyDescent="0.2">
      <c r="A77" s="62"/>
      <c r="B77" s="21" t="s">
        <v>2540</v>
      </c>
      <c r="C77" s="21">
        <v>20</v>
      </c>
      <c r="F77" s="1" t="s">
        <v>1397</v>
      </c>
    </row>
    <row r="78" spans="1:22" x14ac:dyDescent="0.2">
      <c r="A78" s="62"/>
      <c r="B78" s="21" t="s">
        <v>457</v>
      </c>
      <c r="C78" s="21">
        <v>12</v>
      </c>
    </row>
    <row r="79" spans="1:22" x14ac:dyDescent="0.2">
      <c r="A79" s="62"/>
      <c r="B79" s="21" t="s">
        <v>2541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403</v>
      </c>
    </row>
    <row r="83" spans="1:27" x14ac:dyDescent="0.2">
      <c r="A83" s="62" t="s">
        <v>2542</v>
      </c>
      <c r="U83" s="147" t="s">
        <v>1400</v>
      </c>
    </row>
    <row r="84" spans="1:27" x14ac:dyDescent="0.2">
      <c r="A84" s="62" t="s">
        <v>1398</v>
      </c>
    </row>
    <row r="85" spans="1:27" x14ac:dyDescent="0.2">
      <c r="A85" s="62"/>
    </row>
    <row r="86" spans="1:27" x14ac:dyDescent="0.2">
      <c r="A86" s="334" t="s">
        <v>71</v>
      </c>
      <c r="B86" s="14" t="s">
        <v>2543</v>
      </c>
      <c r="C86" s="34" t="s">
        <v>2544</v>
      </c>
      <c r="D86" s="34" t="s">
        <v>1341</v>
      </c>
      <c r="E86" s="32"/>
      <c r="F86" s="32"/>
      <c r="M86" s="21" t="s">
        <v>280</v>
      </c>
      <c r="W86" s="4" t="s">
        <v>1432</v>
      </c>
      <c r="AA86" s="1" t="s">
        <v>1410</v>
      </c>
    </row>
    <row r="87" spans="1:27" x14ac:dyDescent="0.2">
      <c r="A87" s="334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2545</v>
      </c>
      <c r="F87" s="32"/>
      <c r="M87" s="21"/>
      <c r="W87" s="4"/>
    </row>
    <row r="88" spans="1:27" x14ac:dyDescent="0.2">
      <c r="A88" s="335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35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35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35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35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35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35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35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35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35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35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1424</v>
      </c>
      <c r="W128" s="1" t="s">
        <v>1425</v>
      </c>
    </row>
    <row r="129" spans="1:22" x14ac:dyDescent="0.2">
      <c r="A129" s="62"/>
    </row>
    <row r="130" spans="1:22" x14ac:dyDescent="0.2">
      <c r="A130" s="62"/>
      <c r="V130" s="1" t="s">
        <v>1446</v>
      </c>
    </row>
    <row r="131" spans="1:22" ht="17" thickBot="1" x14ac:dyDescent="0.25">
      <c r="A131" s="62"/>
      <c r="V131" s="1" t="s">
        <v>1447</v>
      </c>
    </row>
    <row r="132" spans="1:22" x14ac:dyDescent="0.2">
      <c r="A132" s="63" t="s">
        <v>1444</v>
      </c>
      <c r="B132" s="113"/>
      <c r="C132" s="39"/>
      <c r="D132" s="39"/>
      <c r="E132" s="39"/>
      <c r="F132" s="39"/>
      <c r="G132" s="39"/>
      <c r="H132" s="40"/>
      <c r="V132" s="1" t="s">
        <v>1448</v>
      </c>
    </row>
    <row r="133" spans="1:22" x14ac:dyDescent="0.2">
      <c r="A133" s="95" t="s">
        <v>1434</v>
      </c>
      <c r="B133" s="4"/>
      <c r="H133" s="42"/>
      <c r="V133" s="1" t="s">
        <v>1449</v>
      </c>
    </row>
    <row r="134" spans="1:22" x14ac:dyDescent="0.2">
      <c r="A134" s="95" t="s">
        <v>1435</v>
      </c>
      <c r="B134" s="4"/>
      <c r="H134" s="42"/>
      <c r="V134" s="1" t="s">
        <v>1450</v>
      </c>
    </row>
    <row r="135" spans="1:22" x14ac:dyDescent="0.2">
      <c r="A135" s="95" t="s">
        <v>1436</v>
      </c>
      <c r="B135" s="4"/>
      <c r="H135" s="42"/>
      <c r="V135" s="1" t="s">
        <v>1451</v>
      </c>
    </row>
    <row r="136" spans="1:22" x14ac:dyDescent="0.2">
      <c r="A136" s="95" t="s">
        <v>1437</v>
      </c>
      <c r="B136" s="4"/>
      <c r="H136" s="42"/>
    </row>
    <row r="137" spans="1:22" x14ac:dyDescent="0.2">
      <c r="A137" s="95" t="s">
        <v>1438</v>
      </c>
      <c r="B137" s="4"/>
      <c r="H137" s="42"/>
    </row>
    <row r="138" spans="1:22" x14ac:dyDescent="0.2">
      <c r="A138" s="95" t="s">
        <v>1439</v>
      </c>
      <c r="B138" s="4"/>
      <c r="H138" s="42"/>
    </row>
    <row r="139" spans="1:22" x14ac:dyDescent="0.2">
      <c r="A139" s="95" t="s">
        <v>1440</v>
      </c>
      <c r="B139" s="4"/>
      <c r="H139" s="42"/>
    </row>
    <row r="140" spans="1:22" x14ac:dyDescent="0.2">
      <c r="A140" s="95" t="s">
        <v>1441</v>
      </c>
      <c r="B140" s="4"/>
      <c r="H140" s="42"/>
    </row>
    <row r="141" spans="1:22" x14ac:dyDescent="0.2">
      <c r="A141" s="95" t="s">
        <v>1442</v>
      </c>
      <c r="B141" s="4"/>
      <c r="H141" s="42"/>
    </row>
    <row r="142" spans="1:22" ht="17" thickBot="1" x14ac:dyDescent="0.25">
      <c r="A142" s="220" t="s">
        <v>1443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1452</v>
      </c>
      <c r="B145" s="51"/>
      <c r="C145" s="51"/>
      <c r="D145" s="51"/>
      <c r="E145" s="51"/>
      <c r="F145" s="51"/>
      <c r="G145" s="51"/>
      <c r="H145" s="52"/>
      <c r="R145" s="1" t="s">
        <v>1426</v>
      </c>
    </row>
    <row r="146" spans="1:18" x14ac:dyDescent="0.2">
      <c r="A146" s="62"/>
    </row>
    <row r="147" spans="1:18" x14ac:dyDescent="0.2">
      <c r="A147" s="62" t="s">
        <v>424</v>
      </c>
    </row>
    <row r="148" spans="1:18" x14ac:dyDescent="0.2">
      <c r="A148" s="62" t="s">
        <v>425</v>
      </c>
    </row>
    <row r="149" spans="1:18" x14ac:dyDescent="0.2">
      <c r="A149" s="62"/>
    </row>
    <row r="150" spans="1:18" x14ac:dyDescent="0.2">
      <c r="A150" s="62"/>
      <c r="B150" s="75" t="s">
        <v>389</v>
      </c>
      <c r="C150" s="75" t="s">
        <v>415</v>
      </c>
      <c r="F150" s="1" t="s">
        <v>465</v>
      </c>
      <c r="G150" s="1" t="s">
        <v>464</v>
      </c>
    </row>
    <row r="151" spans="1:18" x14ac:dyDescent="0.2">
      <c r="A151" s="62"/>
      <c r="B151" s="21" t="s">
        <v>416</v>
      </c>
      <c r="C151" s="21">
        <v>15</v>
      </c>
      <c r="F151" s="1" t="s">
        <v>466</v>
      </c>
      <c r="G151" s="1" t="s">
        <v>464</v>
      </c>
    </row>
    <row r="152" spans="1:18" x14ac:dyDescent="0.2">
      <c r="A152" s="62"/>
      <c r="B152" s="21" t="s">
        <v>417</v>
      </c>
      <c r="C152" s="21">
        <v>30</v>
      </c>
    </row>
    <row r="153" spans="1:18" x14ac:dyDescent="0.2">
      <c r="A153" s="62"/>
      <c r="B153" s="21" t="s">
        <v>426</v>
      </c>
      <c r="C153" s="21">
        <v>40</v>
      </c>
    </row>
    <row r="154" spans="1:18" s="25" customFormat="1" x14ac:dyDescent="0.2">
      <c r="A154" s="62"/>
      <c r="B154" s="21" t="s">
        <v>420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429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403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404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405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427</v>
      </c>
      <c r="C163" s="32" t="s">
        <v>430</v>
      </c>
      <c r="D163" s="32" t="s">
        <v>428</v>
      </c>
      <c r="E163" s="32" t="s">
        <v>431</v>
      </c>
      <c r="F163" s="32" t="s">
        <v>402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491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492</v>
      </c>
      <c r="H177" s="42"/>
    </row>
    <row r="178" spans="1:8" x14ac:dyDescent="0.2">
      <c r="A178" s="54" t="s">
        <v>1521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490</v>
      </c>
      <c r="C185" s="25"/>
      <c r="D185" s="25"/>
    </row>
    <row r="186" spans="1:8" x14ac:dyDescent="0.2">
      <c r="A186" s="62"/>
      <c r="B186" s="25"/>
      <c r="C186" s="25"/>
      <c r="D186" s="25" t="s">
        <v>280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48">
        <v>-20</v>
      </c>
    </row>
    <row r="196" spans="1:5" x14ac:dyDescent="0.2">
      <c r="A196" s="62"/>
      <c r="B196" s="25"/>
      <c r="C196" s="25"/>
      <c r="D196" s="25"/>
      <c r="E196" s="348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499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362</v>
      </c>
      <c r="D273" s="1" t="s">
        <v>363</v>
      </c>
      <c r="H273" s="42"/>
    </row>
    <row r="274" spans="1:8" x14ac:dyDescent="0.2">
      <c r="A274" s="64">
        <v>2</v>
      </c>
      <c r="B274" s="1" t="s">
        <v>365</v>
      </c>
      <c r="D274" s="1" t="s">
        <v>366</v>
      </c>
      <c r="H274" s="42"/>
    </row>
    <row r="275" spans="1:8" x14ac:dyDescent="0.2">
      <c r="A275" s="64">
        <v>3</v>
      </c>
      <c r="B275" s="1" t="s">
        <v>368</v>
      </c>
      <c r="D275" s="1" t="s">
        <v>369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500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371</v>
      </c>
      <c r="C280" s="44"/>
      <c r="D280" s="44" t="s">
        <v>372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443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381</v>
      </c>
      <c r="B284" s="1" t="s">
        <v>444</v>
      </c>
      <c r="H284" s="42"/>
    </row>
    <row r="285" spans="1:8" x14ac:dyDescent="0.2">
      <c r="A285" s="64"/>
      <c r="B285" s="1" t="s">
        <v>445</v>
      </c>
      <c r="H285" s="42" t="s">
        <v>467</v>
      </c>
    </row>
    <row r="286" spans="1:8" x14ac:dyDescent="0.2">
      <c r="A286" s="64"/>
      <c r="B286" s="1" t="s">
        <v>470</v>
      </c>
      <c r="H286" s="42" t="s">
        <v>468</v>
      </c>
    </row>
    <row r="287" spans="1:8" x14ac:dyDescent="0.2">
      <c r="A287" s="64"/>
      <c r="B287" s="1" t="s">
        <v>446</v>
      </c>
      <c r="H287" s="42" t="s">
        <v>469</v>
      </c>
    </row>
    <row r="288" spans="1:8" x14ac:dyDescent="0.2">
      <c r="A288" s="64"/>
      <c r="H288" s="42"/>
    </row>
    <row r="289" spans="1:8" x14ac:dyDescent="0.2">
      <c r="A289" s="95" t="s">
        <v>383</v>
      </c>
      <c r="B289" s="4" t="s">
        <v>447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448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385</v>
      </c>
      <c r="B292" s="1" t="s">
        <v>449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386</v>
      </c>
      <c r="B294" s="44" t="s">
        <v>450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451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452</v>
      </c>
    </row>
    <row r="299" spans="1:8" x14ac:dyDescent="0.2">
      <c r="A299" s="62" t="s">
        <v>453</v>
      </c>
    </row>
    <row r="300" spans="1:8" x14ac:dyDescent="0.2">
      <c r="A300" s="62"/>
    </row>
    <row r="301" spans="1:8" ht="17" thickBot="1" x14ac:dyDescent="0.25">
      <c r="A301" s="62"/>
      <c r="B301" s="75" t="s">
        <v>389</v>
      </c>
      <c r="C301" s="75" t="s">
        <v>415</v>
      </c>
    </row>
    <row r="302" spans="1:8" x14ac:dyDescent="0.2">
      <c r="A302" s="62"/>
      <c r="B302" s="60" t="s">
        <v>454</v>
      </c>
      <c r="C302" s="60">
        <v>20</v>
      </c>
      <c r="D302" s="97"/>
      <c r="E302" s="40" t="s">
        <v>467</v>
      </c>
    </row>
    <row r="303" spans="1:8" x14ac:dyDescent="0.2">
      <c r="A303" s="62"/>
      <c r="B303" s="98" t="s">
        <v>456</v>
      </c>
      <c r="C303" s="98">
        <v>10</v>
      </c>
      <c r="D303" s="41"/>
      <c r="E303" s="42" t="s">
        <v>471</v>
      </c>
    </row>
    <row r="304" spans="1:8" ht="17" thickBot="1" x14ac:dyDescent="0.25">
      <c r="A304" s="62"/>
      <c r="B304" s="60" t="s">
        <v>455</v>
      </c>
      <c r="C304" s="60">
        <v>5</v>
      </c>
      <c r="D304" s="43"/>
      <c r="E304" s="45" t="s">
        <v>469</v>
      </c>
    </row>
    <row r="305" spans="1:8" x14ac:dyDescent="0.2">
      <c r="A305" s="62"/>
      <c r="B305" s="21" t="s">
        <v>457</v>
      </c>
      <c r="C305" s="21">
        <v>5</v>
      </c>
    </row>
    <row r="306" spans="1:8" x14ac:dyDescent="0.2">
      <c r="A306" s="62"/>
      <c r="B306" s="21" t="s">
        <v>458</v>
      </c>
      <c r="C306" s="21">
        <v>25</v>
      </c>
    </row>
    <row r="307" spans="1:8" x14ac:dyDescent="0.2">
      <c r="A307" s="62"/>
    </row>
    <row r="308" spans="1:8" x14ac:dyDescent="0.2">
      <c r="A308" s="62" t="s">
        <v>403</v>
      </c>
    </row>
    <row r="309" spans="1:8" x14ac:dyDescent="0.2">
      <c r="A309" s="62" t="s">
        <v>472</v>
      </c>
    </row>
    <row r="310" spans="1:8" x14ac:dyDescent="0.2">
      <c r="A310" s="62" t="s">
        <v>405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473</v>
      </c>
      <c r="C313" s="1" t="s">
        <v>474</v>
      </c>
      <c r="D313" s="21" t="s">
        <v>475</v>
      </c>
      <c r="E313" s="25"/>
      <c r="F313" s="99" t="s">
        <v>477</v>
      </c>
      <c r="H313" s="42"/>
    </row>
    <row r="314" spans="1:8" x14ac:dyDescent="0.2">
      <c r="A314" s="80" t="s">
        <v>71</v>
      </c>
      <c r="B314" s="81" t="s">
        <v>459</v>
      </c>
      <c r="C314" s="81" t="s">
        <v>460</v>
      </c>
      <c r="D314" s="81" t="s">
        <v>461</v>
      </c>
      <c r="E314" s="81" t="s">
        <v>462</v>
      </c>
      <c r="F314" s="81" t="s">
        <v>476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478</v>
      </c>
      <c r="H327" s="42"/>
    </row>
    <row r="328" spans="1:8" x14ac:dyDescent="0.2">
      <c r="A328" s="64"/>
      <c r="F328" s="1" t="s">
        <v>479</v>
      </c>
      <c r="H328" s="42"/>
    </row>
    <row r="329" spans="1:8" x14ac:dyDescent="0.2">
      <c r="A329" s="64"/>
      <c r="F329" s="1" t="s">
        <v>480</v>
      </c>
      <c r="H329" s="42"/>
    </row>
    <row r="330" spans="1:8" x14ac:dyDescent="0.2">
      <c r="A330" s="64"/>
      <c r="F330" s="1" t="s">
        <v>481</v>
      </c>
      <c r="H330" s="42"/>
    </row>
    <row r="331" spans="1:8" x14ac:dyDescent="0.2">
      <c r="A331" s="64"/>
      <c r="F331" s="1" t="s">
        <v>482</v>
      </c>
      <c r="H331" s="42"/>
    </row>
    <row r="332" spans="1:8" x14ac:dyDescent="0.2">
      <c r="A332" s="64"/>
      <c r="F332" s="1" t="s">
        <v>483</v>
      </c>
      <c r="H332" s="42"/>
    </row>
    <row r="333" spans="1:8" x14ac:dyDescent="0.2">
      <c r="A333" s="64"/>
      <c r="F333" s="1" t="s">
        <v>484</v>
      </c>
      <c r="H333" s="42"/>
    </row>
    <row r="334" spans="1:8" x14ac:dyDescent="0.2">
      <c r="A334" s="64"/>
      <c r="F334" s="1" t="s">
        <v>485</v>
      </c>
      <c r="H334" s="42"/>
    </row>
    <row r="335" spans="1:8" x14ac:dyDescent="0.2">
      <c r="A335" s="64"/>
      <c r="F335" s="1" t="s">
        <v>486</v>
      </c>
      <c r="H335" s="42"/>
    </row>
    <row r="336" spans="1:8" x14ac:dyDescent="0.2">
      <c r="A336" s="64"/>
      <c r="F336" s="1" t="s">
        <v>487</v>
      </c>
      <c r="H336" s="42"/>
    </row>
    <row r="337" spans="1:8" x14ac:dyDescent="0.2">
      <c r="A337" s="64"/>
      <c r="F337" s="1" t="s">
        <v>488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489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493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463</v>
      </c>
    </row>
    <row r="343" spans="1:8" x14ac:dyDescent="0.2">
      <c r="A343" s="62" t="s">
        <v>414</v>
      </c>
    </row>
    <row r="344" spans="1:8" ht="17" thickBot="1" x14ac:dyDescent="0.25">
      <c r="A344" s="62"/>
    </row>
    <row r="345" spans="1:8" x14ac:dyDescent="0.2">
      <c r="A345" s="62"/>
      <c r="B345" s="75" t="s">
        <v>389</v>
      </c>
      <c r="C345" s="75" t="s">
        <v>415</v>
      </c>
      <c r="F345" s="97"/>
      <c r="G345" s="40" t="s">
        <v>467</v>
      </c>
    </row>
    <row r="346" spans="1:8" x14ac:dyDescent="0.2">
      <c r="A346" s="62"/>
      <c r="B346" s="21" t="s">
        <v>416</v>
      </c>
      <c r="C346" s="21">
        <v>10</v>
      </c>
      <c r="F346" s="41"/>
      <c r="G346" s="42" t="s">
        <v>468</v>
      </c>
    </row>
    <row r="347" spans="1:8" ht="17" thickBot="1" x14ac:dyDescent="0.25">
      <c r="A347" s="62"/>
      <c r="B347" s="21" t="s">
        <v>419</v>
      </c>
      <c r="C347" s="21">
        <v>15</v>
      </c>
      <c r="F347" s="43"/>
      <c r="G347" s="45" t="s">
        <v>469</v>
      </c>
    </row>
    <row r="348" spans="1:8" x14ac:dyDescent="0.2">
      <c r="A348" s="62"/>
      <c r="B348" s="21" t="s">
        <v>418</v>
      </c>
      <c r="C348" s="21">
        <v>7</v>
      </c>
    </row>
    <row r="349" spans="1:8" x14ac:dyDescent="0.2">
      <c r="A349" s="62"/>
      <c r="B349" s="21" t="s">
        <v>421</v>
      </c>
      <c r="C349" s="21">
        <v>15</v>
      </c>
    </row>
    <row r="350" spans="1:8" x14ac:dyDescent="0.2">
      <c r="A350" s="62"/>
      <c r="B350" s="21" t="s">
        <v>417</v>
      </c>
      <c r="C350" s="21">
        <v>20</v>
      </c>
    </row>
    <row r="351" spans="1:8" x14ac:dyDescent="0.2">
      <c r="A351" s="62"/>
    </row>
    <row r="352" spans="1:8" x14ac:dyDescent="0.2">
      <c r="A352" s="62" t="s">
        <v>403</v>
      </c>
    </row>
    <row r="353" spans="1:8" x14ac:dyDescent="0.2">
      <c r="A353" s="62" t="s">
        <v>404</v>
      </c>
    </row>
    <row r="354" spans="1:8" x14ac:dyDescent="0.2">
      <c r="A354" s="62" t="s">
        <v>405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494</v>
      </c>
      <c r="C359" s="81" t="s">
        <v>495</v>
      </c>
      <c r="D359" s="81" t="s">
        <v>496</v>
      </c>
      <c r="E359" s="81" t="s">
        <v>462</v>
      </c>
      <c r="F359" s="81" t="s">
        <v>280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497</v>
      </c>
      <c r="H385" s="42"/>
    </row>
    <row r="386" spans="1:8" x14ac:dyDescent="0.2">
      <c r="A386" s="64" t="s">
        <v>498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1261</v>
      </c>
    </row>
    <row r="395" spans="1:8" x14ac:dyDescent="0.2">
      <c r="A395" s="1" t="s">
        <v>544</v>
      </c>
    </row>
    <row r="396" spans="1:8" x14ac:dyDescent="0.2">
      <c r="A396" s="1" t="s">
        <v>541</v>
      </c>
    </row>
    <row r="397" spans="1:8" x14ac:dyDescent="0.2">
      <c r="A397" s="1" t="s">
        <v>545</v>
      </c>
    </row>
    <row r="398" spans="1:8" x14ac:dyDescent="0.2">
      <c r="A398" s="1" t="s">
        <v>546</v>
      </c>
    </row>
    <row r="400" spans="1:8" x14ac:dyDescent="0.2">
      <c r="B400" s="357" t="s">
        <v>547</v>
      </c>
      <c r="C400" s="357"/>
      <c r="D400" s="357"/>
      <c r="E400" s="357"/>
    </row>
    <row r="401" spans="1:7" x14ac:dyDescent="0.2">
      <c r="E401" s="21" t="s">
        <v>280</v>
      </c>
    </row>
    <row r="402" spans="1:7" x14ac:dyDescent="0.2">
      <c r="B402" s="1" t="s">
        <v>542</v>
      </c>
      <c r="E402" s="21" t="s">
        <v>239</v>
      </c>
    </row>
    <row r="404" spans="1:7" x14ac:dyDescent="0.2">
      <c r="A404" s="1" t="s">
        <v>543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45" t="s">
        <v>548</v>
      </c>
      <c r="C415" s="345"/>
      <c r="D415" s="345"/>
      <c r="E415" s="345"/>
    </row>
    <row r="416" spans="1:7" x14ac:dyDescent="0.2">
      <c r="E416" s="21" t="s">
        <v>280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550</v>
      </c>
    </row>
    <row r="426" spans="1:5" x14ac:dyDescent="0.2">
      <c r="B426" s="1" t="s">
        <v>549</v>
      </c>
    </row>
    <row r="432" spans="1:5" x14ac:dyDescent="0.2">
      <c r="A432" s="1" t="s">
        <v>551</v>
      </c>
    </row>
    <row r="434" spans="4:8" x14ac:dyDescent="0.2">
      <c r="H434" s="21" t="s">
        <v>280</v>
      </c>
    </row>
    <row r="435" spans="4:8" x14ac:dyDescent="0.2">
      <c r="H435" s="21" t="s">
        <v>239</v>
      </c>
    </row>
    <row r="437" spans="4:8" x14ac:dyDescent="0.2">
      <c r="D437" s="1" t="s">
        <v>552</v>
      </c>
    </row>
    <row r="439" spans="4:8" x14ac:dyDescent="0.2">
      <c r="D439" s="21" t="s">
        <v>280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553</v>
      </c>
    </row>
    <row r="451" spans="1:4" x14ac:dyDescent="0.2">
      <c r="A451" s="1" t="s">
        <v>557</v>
      </c>
    </row>
    <row r="452" spans="1:4" x14ac:dyDescent="0.2">
      <c r="A452" s="1" t="s">
        <v>554</v>
      </c>
    </row>
    <row r="453" spans="1:4" x14ac:dyDescent="0.2">
      <c r="A453" s="1" t="s">
        <v>558</v>
      </c>
    </row>
    <row r="454" spans="1:4" x14ac:dyDescent="0.2">
      <c r="A454" s="1" t="s">
        <v>559</v>
      </c>
    </row>
    <row r="455" spans="1:4" x14ac:dyDescent="0.2">
      <c r="A455" s="1" t="s">
        <v>555</v>
      </c>
    </row>
    <row r="456" spans="1:4" x14ac:dyDescent="0.2">
      <c r="A456" s="1" t="s">
        <v>556</v>
      </c>
    </row>
    <row r="458" spans="1:4" x14ac:dyDescent="0.2">
      <c r="A458" s="105" t="s">
        <v>560</v>
      </c>
    </row>
    <row r="459" spans="1:4" x14ac:dyDescent="0.2">
      <c r="A459" s="1" t="s">
        <v>561</v>
      </c>
    </row>
    <row r="460" spans="1:4" x14ac:dyDescent="0.2">
      <c r="A460" s="1" t="s">
        <v>562</v>
      </c>
    </row>
    <row r="461" spans="1:4" x14ac:dyDescent="0.2">
      <c r="A461" s="1" t="s">
        <v>563</v>
      </c>
      <c r="C461" s="21" t="s">
        <v>564</v>
      </c>
      <c r="D461" s="21" t="s">
        <v>565</v>
      </c>
    </row>
    <row r="462" spans="1:4" x14ac:dyDescent="0.2">
      <c r="C462" s="21" t="s">
        <v>566</v>
      </c>
      <c r="D462" s="21" t="s">
        <v>567</v>
      </c>
    </row>
    <row r="464" spans="1:4" x14ac:dyDescent="0.2">
      <c r="A464" s="1" t="s">
        <v>568</v>
      </c>
    </row>
    <row r="465" spans="1:8" x14ac:dyDescent="0.2">
      <c r="A465" s="1" t="s">
        <v>569</v>
      </c>
      <c r="D465" s="21" t="s">
        <v>570</v>
      </c>
    </row>
    <row r="466" spans="1:8" x14ac:dyDescent="0.2">
      <c r="A466" s="1" t="s">
        <v>571</v>
      </c>
      <c r="D466" s="21"/>
    </row>
    <row r="467" spans="1:8" x14ac:dyDescent="0.2">
      <c r="A467" s="1" t="s">
        <v>572</v>
      </c>
    </row>
    <row r="469" spans="1:8" x14ac:dyDescent="0.2">
      <c r="A469" s="105" t="s">
        <v>573</v>
      </c>
    </row>
    <row r="470" spans="1:8" x14ac:dyDescent="0.2">
      <c r="A470" s="1" t="s">
        <v>574</v>
      </c>
    </row>
    <row r="471" spans="1:8" x14ac:dyDescent="0.2">
      <c r="A471" s="1" t="s">
        <v>575</v>
      </c>
    </row>
    <row r="472" spans="1:8" ht="17" thickBot="1" x14ac:dyDescent="0.25"/>
    <row r="473" spans="1:8" x14ac:dyDescent="0.2">
      <c r="A473" s="70" t="s">
        <v>501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381</v>
      </c>
      <c r="B475" s="1" t="s">
        <v>504</v>
      </c>
      <c r="H475" s="42"/>
    </row>
    <row r="476" spans="1:8" x14ac:dyDescent="0.2">
      <c r="A476" s="64"/>
      <c r="B476" s="1" t="s">
        <v>505</v>
      </c>
      <c r="H476" s="42"/>
    </row>
    <row r="477" spans="1:8" x14ac:dyDescent="0.2">
      <c r="A477" s="64"/>
      <c r="B477" s="1" t="s">
        <v>506</v>
      </c>
      <c r="C477" s="1" t="s">
        <v>464</v>
      </c>
      <c r="H477" s="42"/>
    </row>
    <row r="478" spans="1:8" x14ac:dyDescent="0.2">
      <c r="A478" s="64"/>
      <c r="B478" s="1" t="s">
        <v>507</v>
      </c>
      <c r="C478" s="1" t="s">
        <v>508</v>
      </c>
      <c r="H478" s="42"/>
    </row>
    <row r="479" spans="1:8" x14ac:dyDescent="0.2">
      <c r="A479" s="64"/>
      <c r="H479" s="42"/>
    </row>
    <row r="480" spans="1:8" x14ac:dyDescent="0.2">
      <c r="A480" s="64" t="s">
        <v>383</v>
      </c>
      <c r="B480" s="1" t="s">
        <v>502</v>
      </c>
      <c r="H480" s="42"/>
    </row>
    <row r="481" spans="1:8" x14ac:dyDescent="0.2">
      <c r="A481" s="64"/>
      <c r="B481" s="1" t="s">
        <v>503</v>
      </c>
      <c r="H481" s="42"/>
    </row>
    <row r="482" spans="1:8" x14ac:dyDescent="0.2">
      <c r="A482" s="64"/>
      <c r="H482" s="42"/>
    </row>
    <row r="483" spans="1:8" x14ac:dyDescent="0.2">
      <c r="A483" s="64" t="s">
        <v>385</v>
      </c>
      <c r="B483" s="1" t="s">
        <v>509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386</v>
      </c>
      <c r="B485" s="44" t="s">
        <v>510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517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518</v>
      </c>
    </row>
    <row r="489" spans="1:8" x14ac:dyDescent="0.2">
      <c r="A489" s="1" t="s">
        <v>523</v>
      </c>
    </row>
    <row r="490" spans="1:8" x14ac:dyDescent="0.2">
      <c r="A490" s="1" t="s">
        <v>576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519</v>
      </c>
      <c r="C494" s="81" t="s">
        <v>520</v>
      </c>
      <c r="D494" s="81" t="s">
        <v>521</v>
      </c>
      <c r="E494" s="81" t="s">
        <v>522</v>
      </c>
      <c r="F494" s="81" t="s">
        <v>402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579</v>
      </c>
      <c r="H508" s="42"/>
    </row>
    <row r="509" spans="1:8" x14ac:dyDescent="0.2">
      <c r="A509" s="41"/>
      <c r="H509" s="42"/>
    </row>
    <row r="510" spans="1:8" x14ac:dyDescent="0.2">
      <c r="A510" s="41" t="s">
        <v>524</v>
      </c>
      <c r="H510" s="42"/>
    </row>
    <row r="511" spans="1:8" x14ac:dyDescent="0.2">
      <c r="A511" s="41" t="s">
        <v>580</v>
      </c>
      <c r="H511" s="42"/>
    </row>
    <row r="512" spans="1:8" x14ac:dyDescent="0.2">
      <c r="A512" s="41" t="s">
        <v>581</v>
      </c>
      <c r="H512" s="42"/>
    </row>
    <row r="513" spans="1:8" x14ac:dyDescent="0.2">
      <c r="A513" s="41" t="s">
        <v>582</v>
      </c>
      <c r="H513" s="42"/>
    </row>
    <row r="514" spans="1:8" x14ac:dyDescent="0.2">
      <c r="A514" s="41" t="s">
        <v>583</v>
      </c>
      <c r="H514" s="42"/>
    </row>
    <row r="515" spans="1:8" x14ac:dyDescent="0.2">
      <c r="A515" s="41" t="s">
        <v>584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280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577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578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516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525</v>
      </c>
    </row>
    <row r="541" spans="1:8" x14ac:dyDescent="0.2">
      <c r="B541" s="75" t="s">
        <v>389</v>
      </c>
      <c r="C541" s="75" t="s">
        <v>415</v>
      </c>
    </row>
    <row r="542" spans="1:8" x14ac:dyDescent="0.2">
      <c r="B542" s="21" t="s">
        <v>391</v>
      </c>
      <c r="C542" s="21">
        <v>40</v>
      </c>
    </row>
    <row r="543" spans="1:8" x14ac:dyDescent="0.2">
      <c r="B543" s="21" t="s">
        <v>526</v>
      </c>
      <c r="C543" s="21">
        <v>10</v>
      </c>
    </row>
    <row r="545" spans="1:8" x14ac:dyDescent="0.2">
      <c r="A545" s="1" t="s">
        <v>527</v>
      </c>
    </row>
    <row r="546" spans="1:8" x14ac:dyDescent="0.2">
      <c r="A546" s="1" t="s">
        <v>528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529</v>
      </c>
      <c r="C550" s="81" t="s">
        <v>530</v>
      </c>
      <c r="D550" s="81" t="s">
        <v>531</v>
      </c>
      <c r="E550" s="81" t="s">
        <v>532</v>
      </c>
      <c r="F550" s="81" t="s">
        <v>402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585</v>
      </c>
      <c r="H565" s="42"/>
    </row>
    <row r="566" spans="1:8" x14ac:dyDescent="0.2">
      <c r="A566" s="41" t="s">
        <v>586</v>
      </c>
      <c r="H566" s="42"/>
    </row>
    <row r="567" spans="1:8" x14ac:dyDescent="0.2">
      <c r="A567" s="41" t="s">
        <v>587</v>
      </c>
      <c r="H567" s="42"/>
    </row>
    <row r="568" spans="1:8" x14ac:dyDescent="0.2">
      <c r="A568" s="41" t="s">
        <v>588</v>
      </c>
      <c r="H568" s="42"/>
    </row>
    <row r="569" spans="1:8" x14ac:dyDescent="0.2">
      <c r="A569" s="41" t="s">
        <v>589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596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590</v>
      </c>
    </row>
    <row r="588" spans="1:8" x14ac:dyDescent="0.2">
      <c r="B588" s="75" t="s">
        <v>389</v>
      </c>
      <c r="C588" s="75" t="s">
        <v>415</v>
      </c>
    </row>
    <row r="589" spans="1:8" x14ac:dyDescent="0.2">
      <c r="B589" s="21" t="s">
        <v>391</v>
      </c>
      <c r="C589" s="21">
        <v>30</v>
      </c>
    </row>
    <row r="590" spans="1:8" x14ac:dyDescent="0.2">
      <c r="B590" s="21" t="s">
        <v>526</v>
      </c>
      <c r="C590" s="21">
        <v>15</v>
      </c>
    </row>
    <row r="592" spans="1:8" x14ac:dyDescent="0.2">
      <c r="A592" s="1" t="s">
        <v>591</v>
      </c>
    </row>
    <row r="593" spans="1:6" x14ac:dyDescent="0.2">
      <c r="A593" s="1" t="s">
        <v>528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592</v>
      </c>
      <c r="C597" s="75" t="s">
        <v>593</v>
      </c>
      <c r="D597" s="75" t="s">
        <v>594</v>
      </c>
      <c r="E597" s="75" t="s">
        <v>595</v>
      </c>
      <c r="F597" s="75" t="s">
        <v>402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601</v>
      </c>
    </row>
    <row r="614" spans="1:6" x14ac:dyDescent="0.2">
      <c r="A614" s="1" t="s">
        <v>597</v>
      </c>
    </row>
    <row r="615" spans="1:6" x14ac:dyDescent="0.2">
      <c r="A615" s="1" t="s">
        <v>598</v>
      </c>
    </row>
    <row r="616" spans="1:6" x14ac:dyDescent="0.2">
      <c r="A616" s="1" t="s">
        <v>599</v>
      </c>
    </row>
    <row r="617" spans="1:6" x14ac:dyDescent="0.2">
      <c r="A617" s="1" t="s">
        <v>600</v>
      </c>
    </row>
    <row r="636" spans="1:8" ht="17" thickBot="1" x14ac:dyDescent="0.25"/>
    <row r="637" spans="1:8" ht="17" thickBot="1" x14ac:dyDescent="0.25">
      <c r="A637" s="50" t="s">
        <v>602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603</v>
      </c>
    </row>
    <row r="639" spans="1:8" x14ac:dyDescent="0.2">
      <c r="A639" s="1" t="s">
        <v>604</v>
      </c>
    </row>
    <row r="640" spans="1:8" x14ac:dyDescent="0.2">
      <c r="A640" s="1" t="s">
        <v>605</v>
      </c>
    </row>
    <row r="642" spans="1:8" x14ac:dyDescent="0.2">
      <c r="A642" s="1" t="s">
        <v>606</v>
      </c>
    </row>
    <row r="644" spans="1:8" x14ac:dyDescent="0.2">
      <c r="A644" s="1" t="s">
        <v>78</v>
      </c>
    </row>
    <row r="645" spans="1:8" x14ac:dyDescent="0.2">
      <c r="A645" s="1" t="s">
        <v>607</v>
      </c>
    </row>
    <row r="646" spans="1:8" x14ac:dyDescent="0.2">
      <c r="A646" s="1" t="s">
        <v>608</v>
      </c>
    </row>
    <row r="647" spans="1:8" x14ac:dyDescent="0.2">
      <c r="A647" s="1" t="s">
        <v>609</v>
      </c>
    </row>
    <row r="648" spans="1:8" x14ac:dyDescent="0.2">
      <c r="A648" s="1" t="s">
        <v>610</v>
      </c>
    </row>
    <row r="649" spans="1:8" x14ac:dyDescent="0.2">
      <c r="A649" s="1" t="s">
        <v>611</v>
      </c>
    </row>
    <row r="650" spans="1:8" ht="17" thickBot="1" x14ac:dyDescent="0.25"/>
    <row r="651" spans="1:8" ht="17" thickBot="1" x14ac:dyDescent="0.25">
      <c r="A651" s="50" t="s">
        <v>612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631</v>
      </c>
    </row>
    <row r="653" spans="1:8" x14ac:dyDescent="0.2">
      <c r="A653" s="1" t="s">
        <v>630</v>
      </c>
    </row>
    <row r="655" spans="1:8" x14ac:dyDescent="0.2">
      <c r="A655" s="1" t="s">
        <v>613</v>
      </c>
    </row>
    <row r="656" spans="1:8" x14ac:dyDescent="0.2">
      <c r="A656" s="1" t="s">
        <v>614</v>
      </c>
    </row>
    <row r="658" spans="1:2" x14ac:dyDescent="0.2">
      <c r="A658" s="1" t="s">
        <v>78</v>
      </c>
    </row>
    <row r="659" spans="1:2" x14ac:dyDescent="0.2">
      <c r="A659" s="1" t="s">
        <v>632</v>
      </c>
    </row>
    <row r="660" spans="1:2" x14ac:dyDescent="0.2">
      <c r="A660" s="1" t="s">
        <v>633</v>
      </c>
    </row>
    <row r="661" spans="1:2" x14ac:dyDescent="0.2">
      <c r="A661" s="1" t="s">
        <v>615</v>
      </c>
    </row>
    <row r="662" spans="1:2" x14ac:dyDescent="0.2">
      <c r="A662" s="1" t="s">
        <v>616</v>
      </c>
    </row>
    <row r="663" spans="1:2" x14ac:dyDescent="0.2">
      <c r="A663" s="1" t="s">
        <v>617</v>
      </c>
    </row>
    <row r="664" spans="1:2" x14ac:dyDescent="0.2">
      <c r="A664" s="1" t="s">
        <v>618</v>
      </c>
    </row>
    <row r="665" spans="1:2" x14ac:dyDescent="0.2">
      <c r="A665" s="1" t="s">
        <v>619</v>
      </c>
    </row>
    <row r="666" spans="1:2" x14ac:dyDescent="0.2">
      <c r="A666" s="1" t="s">
        <v>620</v>
      </c>
    </row>
    <row r="667" spans="1:2" x14ac:dyDescent="0.2">
      <c r="A667" s="1" t="s">
        <v>621</v>
      </c>
    </row>
    <row r="668" spans="1:2" x14ac:dyDescent="0.2">
      <c r="A668" s="1" t="s">
        <v>622</v>
      </c>
    </row>
    <row r="669" spans="1:2" x14ac:dyDescent="0.2">
      <c r="A669" s="21" t="s">
        <v>441</v>
      </c>
      <c r="B669" s="1" t="s">
        <v>623</v>
      </c>
    </row>
    <row r="670" spans="1:2" x14ac:dyDescent="0.2">
      <c r="B670" s="1" t="s">
        <v>624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opLeftCell="A218" zoomScale="277" zoomScaleNormal="400" zoomScaleSheetLayoutView="174" workbookViewId="0">
      <selection activeCell="F235" sqref="F235"/>
    </sheetView>
  </sheetViews>
  <sheetFormatPr baseColWidth="10" defaultRowHeight="16" x14ac:dyDescent="0.2"/>
  <sheetData>
    <row r="1" spans="1:8" s="1" customFormat="1" x14ac:dyDescent="0.2">
      <c r="A1" s="61" t="s">
        <v>2546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2547</v>
      </c>
    </row>
    <row r="5" spans="1:8" s="1" customFormat="1" x14ac:dyDescent="0.2">
      <c r="B5" s="128" t="s">
        <v>362</v>
      </c>
      <c r="F5" s="4" t="s">
        <v>365</v>
      </c>
    </row>
    <row r="12" spans="1:8" s="1" customFormat="1" x14ac:dyDescent="0.2"/>
    <row r="13" spans="1:8" s="1" customFormat="1" x14ac:dyDescent="0.2">
      <c r="A13" s="1" t="s">
        <v>1478</v>
      </c>
      <c r="E13" s="1" t="s">
        <v>1482</v>
      </c>
    </row>
    <row r="14" spans="1:8" s="1" customFormat="1" x14ac:dyDescent="0.2">
      <c r="A14" s="1" t="s">
        <v>1479</v>
      </c>
      <c r="E14" s="1" t="s">
        <v>1483</v>
      </c>
    </row>
    <row r="15" spans="1:8" s="1" customFormat="1" x14ac:dyDescent="0.2">
      <c r="A15" s="1" t="s">
        <v>1480</v>
      </c>
      <c r="E15" s="1" t="s">
        <v>1484</v>
      </c>
    </row>
    <row r="16" spans="1:8" x14ac:dyDescent="0.2">
      <c r="A16" s="1" t="s">
        <v>1481</v>
      </c>
      <c r="E16" s="1" t="s">
        <v>1485</v>
      </c>
    </row>
    <row r="18" spans="1:6" x14ac:dyDescent="0.2">
      <c r="A18" s="1" t="s">
        <v>1486</v>
      </c>
    </row>
    <row r="19" spans="1:6" x14ac:dyDescent="0.2">
      <c r="A19" s="1" t="s">
        <v>1487</v>
      </c>
    </row>
    <row r="21" spans="1:6" x14ac:dyDescent="0.2">
      <c r="A21" s="1" t="s">
        <v>1488</v>
      </c>
    </row>
    <row r="23" spans="1:6" x14ac:dyDescent="0.2">
      <c r="A23" s="1"/>
      <c r="B23" s="128" t="s">
        <v>1489</v>
      </c>
      <c r="C23" s="1"/>
      <c r="F23" s="4" t="s">
        <v>1491</v>
      </c>
    </row>
    <row r="24" spans="1:6" x14ac:dyDescent="0.2">
      <c r="A24" s="1" t="s">
        <v>1490</v>
      </c>
      <c r="B24" s="128"/>
      <c r="C24" s="1"/>
      <c r="F24" s="1" t="s">
        <v>1492</v>
      </c>
    </row>
    <row r="25" spans="1:6" x14ac:dyDescent="0.2">
      <c r="A25" s="1"/>
      <c r="B25" s="128"/>
      <c r="C25" s="1"/>
    </row>
    <row r="34" spans="1:8" s="1" customFormat="1" x14ac:dyDescent="0.2">
      <c r="A34" s="1" t="s">
        <v>1493</v>
      </c>
    </row>
    <row r="35" spans="1:8" s="1" customFormat="1" x14ac:dyDescent="0.2">
      <c r="A35" s="1" t="s">
        <v>1494</v>
      </c>
    </row>
    <row r="37" spans="1:8" x14ac:dyDescent="0.2">
      <c r="A37" s="1" t="s">
        <v>1495</v>
      </c>
    </row>
    <row r="38" spans="1:8" x14ac:dyDescent="0.2">
      <c r="A38" s="1" t="s">
        <v>1496</v>
      </c>
    </row>
    <row r="39" spans="1:8" ht="17" thickBot="1" x14ac:dyDescent="0.25"/>
    <row r="40" spans="1:8" s="1" customFormat="1" x14ac:dyDescent="0.2">
      <c r="A40" s="70" t="s">
        <v>1453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381</v>
      </c>
      <c r="B42" s="1" t="s">
        <v>1454</v>
      </c>
      <c r="H42" s="42"/>
    </row>
    <row r="43" spans="1:8" s="1" customFormat="1" x14ac:dyDescent="0.2">
      <c r="A43" s="64"/>
      <c r="B43" s="1" t="s">
        <v>1455</v>
      </c>
      <c r="H43" s="42"/>
    </row>
    <row r="44" spans="1:8" s="1" customFormat="1" x14ac:dyDescent="0.2">
      <c r="A44" s="64"/>
      <c r="B44" s="1" t="s">
        <v>1456</v>
      </c>
      <c r="H44" s="42"/>
    </row>
    <row r="45" spans="1:8" s="1" customFormat="1" x14ac:dyDescent="0.2">
      <c r="A45" s="64"/>
      <c r="B45" s="1" t="s">
        <v>1457</v>
      </c>
      <c r="C45" s="1" t="s">
        <v>1458</v>
      </c>
      <c r="H45" s="42"/>
    </row>
    <row r="46" spans="1:8" s="1" customFormat="1" x14ac:dyDescent="0.2">
      <c r="A46" s="64"/>
      <c r="C46" s="1" t="s">
        <v>1464</v>
      </c>
      <c r="H46" s="42"/>
    </row>
    <row r="47" spans="1:8" s="1" customFormat="1" x14ac:dyDescent="0.2">
      <c r="A47" s="64"/>
      <c r="C47" s="1" t="s">
        <v>1465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1463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1461</v>
      </c>
      <c r="E51" s="1" t="s">
        <v>1497</v>
      </c>
      <c r="H51" s="42"/>
    </row>
    <row r="52" spans="1:8" s="1" customFormat="1" x14ac:dyDescent="0.2">
      <c r="A52" s="64"/>
      <c r="G52" s="1" t="s">
        <v>1498</v>
      </c>
      <c r="H52" s="222" t="s">
        <v>1499</v>
      </c>
    </row>
    <row r="53" spans="1:8" s="1" customFormat="1" x14ac:dyDescent="0.2">
      <c r="A53" s="64"/>
      <c r="E53" s="1" t="s">
        <v>1500</v>
      </c>
      <c r="H53" s="42"/>
    </row>
    <row r="54" spans="1:8" s="1" customFormat="1" x14ac:dyDescent="0.2">
      <c r="A54" s="64"/>
      <c r="G54" s="225" t="s">
        <v>1501</v>
      </c>
      <c r="H54" s="222" t="s">
        <v>1502</v>
      </c>
    </row>
    <row r="55" spans="1:8" s="1" customFormat="1" x14ac:dyDescent="0.2">
      <c r="A55" s="64"/>
      <c r="E55" s="1" t="s">
        <v>1462</v>
      </c>
      <c r="G55" s="224" t="s">
        <v>1503</v>
      </c>
      <c r="H55" s="42"/>
    </row>
    <row r="56" spans="1:8" s="1" customFormat="1" x14ac:dyDescent="0.2">
      <c r="A56" s="64"/>
      <c r="G56" s="224" t="s">
        <v>1504</v>
      </c>
      <c r="H56" s="42"/>
    </row>
    <row r="57" spans="1:8" s="1" customFormat="1" x14ac:dyDescent="0.2">
      <c r="A57" s="64"/>
      <c r="G57" s="224"/>
      <c r="H57" s="42"/>
    </row>
    <row r="58" spans="1:8" s="1" customFormat="1" x14ac:dyDescent="0.2">
      <c r="A58" s="64"/>
      <c r="B58" s="1" t="s">
        <v>1469</v>
      </c>
      <c r="H58" s="42"/>
    </row>
    <row r="59" spans="1:8" s="1" customFormat="1" x14ac:dyDescent="0.2">
      <c r="A59" s="64"/>
      <c r="E59" s="1" t="s">
        <v>1466</v>
      </c>
      <c r="H59" s="42"/>
    </row>
    <row r="60" spans="1:8" s="1" customFormat="1" x14ac:dyDescent="0.2">
      <c r="A60" s="64"/>
      <c r="E60" s="1" t="s">
        <v>1467</v>
      </c>
      <c r="H60" s="42"/>
    </row>
    <row r="61" spans="1:8" s="1" customFormat="1" x14ac:dyDescent="0.2">
      <c r="A61" s="64"/>
      <c r="E61" s="1" t="s">
        <v>1468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383</v>
      </c>
      <c r="B63" s="1" t="s">
        <v>1459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385</v>
      </c>
      <c r="B65" s="1" t="s">
        <v>509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386</v>
      </c>
      <c r="B67" s="44" t="s">
        <v>1460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21" t="s">
        <v>1505</v>
      </c>
      <c r="B69" s="221"/>
      <c r="C69" s="221"/>
      <c r="D69" s="221"/>
      <c r="E69" s="221"/>
      <c r="F69" s="221"/>
      <c r="G69" s="221"/>
      <c r="H69" s="221"/>
    </row>
    <row r="70" spans="1:11" s="1" customFormat="1" x14ac:dyDescent="0.2">
      <c r="A70" s="1" t="s">
        <v>1471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1470</v>
      </c>
      <c r="H72" s="1" t="s">
        <v>1497</v>
      </c>
    </row>
    <row r="73" spans="1:11" s="1" customFormat="1" x14ac:dyDescent="0.2">
      <c r="E73" s="75" t="s">
        <v>250</v>
      </c>
      <c r="F73" s="75" t="s">
        <v>246</v>
      </c>
      <c r="H73" s="1" t="s">
        <v>1500</v>
      </c>
    </row>
    <row r="74" spans="1:11" s="1" customFormat="1" x14ac:dyDescent="0.2">
      <c r="E74" s="21">
        <v>11</v>
      </c>
      <c r="F74" s="226">
        <v>30</v>
      </c>
      <c r="H74" s="1" t="s">
        <v>1506</v>
      </c>
    </row>
    <row r="75" spans="1:11" s="1" customFormat="1" x14ac:dyDescent="0.2">
      <c r="E75" s="21">
        <v>4</v>
      </c>
      <c r="F75" s="21">
        <v>40</v>
      </c>
      <c r="J75" s="225"/>
    </row>
    <row r="76" spans="1:11" s="1" customFormat="1" x14ac:dyDescent="0.2">
      <c r="E76" s="21">
        <v>1</v>
      </c>
      <c r="F76" s="31">
        <v>50</v>
      </c>
      <c r="H76" s="1" t="s">
        <v>1507</v>
      </c>
      <c r="J76" s="224"/>
    </row>
    <row r="77" spans="1:11" s="1" customFormat="1" x14ac:dyDescent="0.2">
      <c r="H77" s="1" t="s">
        <v>1508</v>
      </c>
    </row>
    <row r="78" spans="1:11" s="1" customFormat="1" x14ac:dyDescent="0.2">
      <c r="A78" s="1" t="s">
        <v>1472</v>
      </c>
      <c r="H78" s="1" t="s">
        <v>1509</v>
      </c>
    </row>
    <row r="79" spans="1:11" s="1" customFormat="1" x14ac:dyDescent="0.2"/>
    <row r="80" spans="1:11" s="1" customFormat="1" x14ac:dyDescent="0.2">
      <c r="A80" s="21" t="s">
        <v>897</v>
      </c>
      <c r="B80" s="21" t="s">
        <v>280</v>
      </c>
      <c r="C80" s="21" t="s">
        <v>280</v>
      </c>
      <c r="D80" s="21" t="s">
        <v>280</v>
      </c>
      <c r="E80" s="21" t="s">
        <v>1341</v>
      </c>
      <c r="K80" s="1" t="s">
        <v>402</v>
      </c>
    </row>
    <row r="81" spans="1:7" s="1" customFormat="1" x14ac:dyDescent="0.2">
      <c r="A81" s="75" t="s">
        <v>71</v>
      </c>
      <c r="B81" s="75" t="s">
        <v>2548</v>
      </c>
      <c r="C81" s="75" t="s">
        <v>2549</v>
      </c>
      <c r="D81" s="75" t="s">
        <v>2550</v>
      </c>
      <c r="E81" s="75" t="s">
        <v>280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1510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1511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1512</v>
      </c>
    </row>
    <row r="94" spans="1:7" s="1" customFormat="1" x14ac:dyDescent="0.2">
      <c r="G94" s="1" t="s">
        <v>1513</v>
      </c>
    </row>
    <row r="95" spans="1:7" s="1" customFormat="1" x14ac:dyDescent="0.2">
      <c r="G95" s="1" t="s">
        <v>1514</v>
      </c>
    </row>
    <row r="96" spans="1:7" s="1" customFormat="1" x14ac:dyDescent="0.2"/>
    <row r="97" spans="1:12" s="1" customFormat="1" x14ac:dyDescent="0.2">
      <c r="A97" s="221" t="s">
        <v>1473</v>
      </c>
      <c r="B97" s="221"/>
      <c r="C97" s="221"/>
      <c r="D97" s="221"/>
      <c r="E97" s="221"/>
      <c r="F97" s="221"/>
      <c r="G97" s="221"/>
      <c r="H97" s="221"/>
    </row>
    <row r="98" spans="1:12" s="1" customFormat="1" x14ac:dyDescent="0.2">
      <c r="A98" s="1" t="s">
        <v>1471</v>
      </c>
    </row>
    <row r="99" spans="1:12" s="1" customFormat="1" x14ac:dyDescent="0.2"/>
    <row r="100" spans="1:12" s="1" customFormat="1" x14ac:dyDescent="0.2">
      <c r="E100" s="227" t="s">
        <v>742</v>
      </c>
      <c r="F100" s="21" t="s">
        <v>1470</v>
      </c>
      <c r="H100" s="223" t="s">
        <v>1516</v>
      </c>
    </row>
    <row r="101" spans="1:12" s="1" customFormat="1" x14ac:dyDescent="0.2">
      <c r="E101" s="21" t="s">
        <v>250</v>
      </c>
      <c r="F101" s="21" t="s">
        <v>246</v>
      </c>
      <c r="H101" s="223" t="s">
        <v>1517</v>
      </c>
    </row>
    <row r="102" spans="1:12" s="1" customFormat="1" x14ac:dyDescent="0.2">
      <c r="E102" s="21">
        <v>12</v>
      </c>
      <c r="F102" s="21">
        <v>60</v>
      </c>
      <c r="H102" s="223" t="s">
        <v>1518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897</v>
      </c>
      <c r="B106" s="14" t="s">
        <v>280</v>
      </c>
      <c r="C106" s="14" t="s">
        <v>280</v>
      </c>
      <c r="D106" s="14" t="s">
        <v>280</v>
      </c>
      <c r="E106" s="14" t="s">
        <v>1341</v>
      </c>
      <c r="L106" s="1" t="s">
        <v>402</v>
      </c>
    </row>
    <row r="107" spans="1:12" s="1" customFormat="1" x14ac:dyDescent="0.2">
      <c r="A107" s="14" t="s">
        <v>71</v>
      </c>
      <c r="B107" s="14" t="s">
        <v>1520</v>
      </c>
      <c r="C107" s="14" t="s">
        <v>1519</v>
      </c>
      <c r="D107" s="14" t="s">
        <v>2551</v>
      </c>
      <c r="E107" s="14" t="s">
        <v>280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1510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1511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21" t="s">
        <v>1474</v>
      </c>
      <c r="B131" s="221"/>
      <c r="C131" s="221"/>
      <c r="D131" s="221"/>
      <c r="E131" s="221"/>
      <c r="F131" s="221"/>
      <c r="G131" s="221"/>
      <c r="H131" s="221"/>
    </row>
    <row r="132" spans="1:8" s="1" customFormat="1" x14ac:dyDescent="0.2">
      <c r="A132" s="1" t="s">
        <v>1475</v>
      </c>
    </row>
    <row r="133" spans="1:8" s="1" customFormat="1" x14ac:dyDescent="0.2">
      <c r="A133" s="1" t="s">
        <v>1476</v>
      </c>
    </row>
    <row r="134" spans="1:8" s="1" customFormat="1" x14ac:dyDescent="0.2">
      <c r="E134" s="21" t="s">
        <v>60</v>
      </c>
      <c r="F134" s="21" t="s">
        <v>1470</v>
      </c>
    </row>
    <row r="135" spans="1:8" s="1" customFormat="1" x14ac:dyDescent="0.2">
      <c r="E135" s="21" t="s">
        <v>250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897</v>
      </c>
      <c r="B142" s="21" t="s">
        <v>280</v>
      </c>
      <c r="C142" s="21" t="s">
        <v>280</v>
      </c>
      <c r="D142" s="21" t="s">
        <v>280</v>
      </c>
      <c r="E142" s="21" t="s">
        <v>1341</v>
      </c>
    </row>
    <row r="143" spans="1:8" s="1" customFormat="1" x14ac:dyDescent="0.2">
      <c r="A143" s="75" t="s">
        <v>71</v>
      </c>
      <c r="B143" s="75" t="s">
        <v>1523</v>
      </c>
      <c r="C143" s="75" t="s">
        <v>1515</v>
      </c>
      <c r="D143" s="75" t="s">
        <v>1522</v>
      </c>
      <c r="E143" s="75" t="s">
        <v>280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1524</v>
      </c>
    </row>
    <row r="157" spans="1:5" s="1" customFormat="1" x14ac:dyDescent="0.2"/>
    <row r="158" spans="1:5" s="1" customFormat="1" x14ac:dyDescent="0.2">
      <c r="A158" s="1" t="s">
        <v>1525</v>
      </c>
    </row>
    <row r="159" spans="1:5" s="1" customFormat="1" x14ac:dyDescent="0.2">
      <c r="A159" s="1" t="s">
        <v>1526</v>
      </c>
    </row>
    <row r="160" spans="1:5" s="1" customFormat="1" x14ac:dyDescent="0.2"/>
    <row r="161" spans="1:5" s="1" customFormat="1" x14ac:dyDescent="0.2">
      <c r="A161" s="21" t="s">
        <v>897</v>
      </c>
      <c r="B161" s="21" t="s">
        <v>280</v>
      </c>
      <c r="C161" s="21" t="s">
        <v>280</v>
      </c>
      <c r="D161" s="21" t="s">
        <v>280</v>
      </c>
      <c r="E161" s="21" t="s">
        <v>1341</v>
      </c>
    </row>
    <row r="162" spans="1:5" s="1" customFormat="1" x14ac:dyDescent="0.2">
      <c r="A162" s="75" t="s">
        <v>71</v>
      </c>
      <c r="B162" s="75" t="s">
        <v>1523</v>
      </c>
      <c r="C162" s="75" t="s">
        <v>1515</v>
      </c>
      <c r="D162" s="75" t="s">
        <v>1522</v>
      </c>
      <c r="E162" s="75" t="s">
        <v>280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8" t="s">
        <v>1527</v>
      </c>
    </row>
    <row r="186" spans="1:7" s="1" customFormat="1" x14ac:dyDescent="0.2">
      <c r="A186" s="1" t="s">
        <v>1528</v>
      </c>
    </row>
    <row r="187" spans="1:7" s="1" customFormat="1" x14ac:dyDescent="0.2">
      <c r="A187" s="1" t="s">
        <v>1529</v>
      </c>
    </row>
    <row r="188" spans="1:7" s="1" customFormat="1" x14ac:dyDescent="0.2">
      <c r="A188" s="1" t="s">
        <v>1530</v>
      </c>
    </row>
    <row r="189" spans="1:7" s="1" customFormat="1" x14ac:dyDescent="0.2"/>
    <row r="190" spans="1:7" s="1" customFormat="1" x14ac:dyDescent="0.2">
      <c r="A190" s="1" t="s">
        <v>1531</v>
      </c>
    </row>
    <row r="191" spans="1:7" s="1" customFormat="1" x14ac:dyDescent="0.2"/>
    <row r="192" spans="1:7" s="1" customFormat="1" x14ac:dyDescent="0.2">
      <c r="G192" s="1" t="s">
        <v>280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21" t="s">
        <v>1477</v>
      </c>
      <c r="B213" s="221"/>
      <c r="C213" s="221"/>
      <c r="D213" s="221"/>
      <c r="E213" s="221"/>
      <c r="F213" s="221"/>
      <c r="G213" s="221"/>
      <c r="H213" s="221"/>
    </row>
    <row r="214" spans="1:8" s="1" customFormat="1" x14ac:dyDescent="0.2">
      <c r="A214" s="1" t="s">
        <v>1976</v>
      </c>
    </row>
    <row r="215" spans="1:8" s="1" customFormat="1" x14ac:dyDescent="0.2">
      <c r="A215" s="1" t="s">
        <v>1475</v>
      </c>
    </row>
    <row r="216" spans="1:8" s="1" customFormat="1" x14ac:dyDescent="0.2">
      <c r="A216" s="1" t="s">
        <v>1476</v>
      </c>
    </row>
    <row r="217" spans="1:8" s="1" customFormat="1" x14ac:dyDescent="0.2">
      <c r="E217" s="21" t="s">
        <v>742</v>
      </c>
      <c r="F217" s="21" t="s">
        <v>1470</v>
      </c>
    </row>
    <row r="218" spans="1:8" s="1" customFormat="1" x14ac:dyDescent="0.2">
      <c r="E218" s="21" t="s">
        <v>250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1532</v>
      </c>
    </row>
    <row r="225" spans="1:12" s="1" customFormat="1" x14ac:dyDescent="0.2">
      <c r="A225" s="1" t="s">
        <v>1533</v>
      </c>
    </row>
    <row r="226" spans="1:12" s="1" customFormat="1" x14ac:dyDescent="0.2"/>
    <row r="227" spans="1:12" s="1" customFormat="1" x14ac:dyDescent="0.2">
      <c r="A227" s="14" t="s">
        <v>897</v>
      </c>
      <c r="B227" s="14" t="s">
        <v>280</v>
      </c>
      <c r="C227" s="14" t="s">
        <v>280</v>
      </c>
      <c r="D227" s="14" t="s">
        <v>280</v>
      </c>
      <c r="E227" s="14" t="s">
        <v>1341</v>
      </c>
    </row>
    <row r="228" spans="1:12" s="1" customFormat="1" x14ac:dyDescent="0.2">
      <c r="A228" s="14" t="s">
        <v>71</v>
      </c>
      <c r="B228" s="14" t="s">
        <v>1520</v>
      </c>
      <c r="C228" s="14" t="s">
        <v>1534</v>
      </c>
      <c r="D228" s="14" t="s">
        <v>1535</v>
      </c>
      <c r="E228" s="14" t="s">
        <v>280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402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1510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1511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topLeftCell="A117" zoomScale="399" zoomScaleNormal="207" zoomScaleSheetLayoutView="174" workbookViewId="0">
      <selection activeCell="G72" sqref="G72"/>
    </sheetView>
  </sheetViews>
  <sheetFormatPr baseColWidth="10" defaultRowHeight="16" x14ac:dyDescent="0.2"/>
  <sheetData>
    <row r="1" spans="1:8" s="1" customFormat="1" x14ac:dyDescent="0.2">
      <c r="A1" s="61" t="s">
        <v>2552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2553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1539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1540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1541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1537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381</v>
      </c>
      <c r="B11" s="1" t="s">
        <v>511</v>
      </c>
      <c r="H11" s="42"/>
    </row>
    <row r="12" spans="1:8" s="1" customFormat="1" x14ac:dyDescent="0.2">
      <c r="A12" s="64"/>
      <c r="B12" s="1" t="s">
        <v>1543</v>
      </c>
      <c r="H12" s="42"/>
    </row>
    <row r="13" spans="1:8" s="1" customFormat="1" x14ac:dyDescent="0.2">
      <c r="A13" s="64"/>
      <c r="B13" s="1" t="s">
        <v>2555</v>
      </c>
      <c r="C13" s="1" t="s">
        <v>2554</v>
      </c>
      <c r="D13" s="1" t="s">
        <v>2556</v>
      </c>
      <c r="H13" s="42"/>
    </row>
    <row r="14" spans="1:8" s="1" customFormat="1" x14ac:dyDescent="0.2">
      <c r="A14" s="64"/>
      <c r="B14" s="1" t="s">
        <v>2558</v>
      </c>
      <c r="C14" s="1" t="s">
        <v>2557</v>
      </c>
      <c r="D14" s="1" t="s">
        <v>1544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1545</v>
      </c>
      <c r="H16" s="42"/>
    </row>
    <row r="17" spans="1:8" s="1" customFormat="1" x14ac:dyDescent="0.2">
      <c r="A17" s="64"/>
      <c r="B17" s="1" t="s">
        <v>1546</v>
      </c>
      <c r="H17" s="42"/>
    </row>
    <row r="18" spans="1:8" s="1" customFormat="1" x14ac:dyDescent="0.2">
      <c r="A18" s="64"/>
      <c r="B18" s="1" t="s">
        <v>1547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383</v>
      </c>
      <c r="B20" s="1" t="s">
        <v>514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385</v>
      </c>
      <c r="B22" s="1" t="s">
        <v>2559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386</v>
      </c>
      <c r="B24" s="44" t="s">
        <v>515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636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634</v>
      </c>
    </row>
    <row r="28" spans="1:8" s="1" customFormat="1" x14ac:dyDescent="0.2">
      <c r="A28" s="1" t="s">
        <v>533</v>
      </c>
    </row>
    <row r="29" spans="1:8" s="1" customFormat="1" x14ac:dyDescent="0.2">
      <c r="A29" s="1" t="s">
        <v>535</v>
      </c>
    </row>
    <row r="30" spans="1:8" s="1" customFormat="1" x14ac:dyDescent="0.2">
      <c r="A30" s="1" t="s">
        <v>534</v>
      </c>
    </row>
    <row r="31" spans="1:8" s="1" customFormat="1" x14ac:dyDescent="0.2"/>
    <row r="32" spans="1:8" s="1" customFormat="1" x14ac:dyDescent="0.2">
      <c r="A32" s="4" t="s">
        <v>78</v>
      </c>
      <c r="B32" s="1" t="s">
        <v>635</v>
      </c>
    </row>
    <row r="33" spans="1:13" s="1" customFormat="1" x14ac:dyDescent="0.2"/>
    <row r="34" spans="1:13" s="1" customFormat="1" x14ac:dyDescent="0.2">
      <c r="B34" s="32" t="s">
        <v>280</v>
      </c>
      <c r="C34" s="32" t="s">
        <v>280</v>
      </c>
      <c r="D34" s="21" t="s">
        <v>1554</v>
      </c>
    </row>
    <row r="35" spans="1:13" s="1" customFormat="1" x14ac:dyDescent="0.2">
      <c r="B35" s="32" t="s">
        <v>1549</v>
      </c>
      <c r="C35" s="32" t="s">
        <v>1551</v>
      </c>
      <c r="D35" s="21" t="s">
        <v>1555</v>
      </c>
      <c r="I35" s="21" t="s">
        <v>280</v>
      </c>
    </row>
    <row r="36" spans="1:13" s="1" customFormat="1" x14ac:dyDescent="0.2">
      <c r="B36" s="32" t="s">
        <v>1550</v>
      </c>
      <c r="C36" s="32" t="s">
        <v>1552</v>
      </c>
      <c r="D36" s="21" t="s">
        <v>1556</v>
      </c>
      <c r="I36" s="21" t="s">
        <v>213</v>
      </c>
    </row>
    <row r="37" spans="1:13" s="73" customFormat="1" x14ac:dyDescent="0.2">
      <c r="A37" s="81" t="s">
        <v>71</v>
      </c>
      <c r="B37" s="81" t="s">
        <v>1548</v>
      </c>
      <c r="C37" s="81" t="s">
        <v>1553</v>
      </c>
      <c r="D37" s="81" t="s">
        <v>402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1557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1558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1559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1560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1562</v>
      </c>
    </row>
    <row r="44" spans="1:13" s="73" customFormat="1" x14ac:dyDescent="0.2">
      <c r="A44" s="202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9" t="s">
        <v>1561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1563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9" t="s">
        <v>1564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1565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1566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1567</v>
      </c>
      <c r="L52" s="25"/>
      <c r="M52" s="25"/>
    </row>
    <row r="53" spans="1:13" s="1" customFormat="1" x14ac:dyDescent="0.2">
      <c r="K53" s="1" t="s">
        <v>1568</v>
      </c>
    </row>
    <row r="54" spans="1:13" s="1" customFormat="1" x14ac:dyDescent="0.2">
      <c r="A54" s="4" t="s">
        <v>585</v>
      </c>
      <c r="K54" s="1" t="s">
        <v>1569</v>
      </c>
    </row>
    <row r="55" spans="1:13" s="1" customFormat="1" x14ac:dyDescent="0.2">
      <c r="K55" s="1" t="s">
        <v>1570</v>
      </c>
    </row>
    <row r="56" spans="1:13" s="1" customFormat="1" x14ac:dyDescent="0.2">
      <c r="K56" s="1" t="s">
        <v>1571</v>
      </c>
    </row>
    <row r="57" spans="1:13" s="1" customFormat="1" x14ac:dyDescent="0.2"/>
    <row r="58" spans="1:13" s="1" customFormat="1" x14ac:dyDescent="0.2">
      <c r="G58" s="1" t="s">
        <v>1576</v>
      </c>
      <c r="K58" s="1" t="s">
        <v>1572</v>
      </c>
    </row>
    <row r="59" spans="1:13" s="1" customFormat="1" x14ac:dyDescent="0.2">
      <c r="G59" s="1" t="s">
        <v>1577</v>
      </c>
      <c r="K59" s="1" t="s">
        <v>1573</v>
      </c>
    </row>
    <row r="60" spans="1:13" s="1" customFormat="1" x14ac:dyDescent="0.2">
      <c r="G60" s="1" t="s">
        <v>1578</v>
      </c>
      <c r="K60" s="1" t="s">
        <v>1574</v>
      </c>
    </row>
    <row r="61" spans="1:13" s="1" customFormat="1" x14ac:dyDescent="0.2">
      <c r="G61" s="1" t="s">
        <v>1579</v>
      </c>
      <c r="K61" s="1" t="s">
        <v>1575</v>
      </c>
    </row>
    <row r="62" spans="1:13" s="1" customFormat="1" x14ac:dyDescent="0.2">
      <c r="G62" s="1" t="s">
        <v>1580</v>
      </c>
    </row>
    <row r="63" spans="1:13" s="1" customFormat="1" x14ac:dyDescent="0.2">
      <c r="G63" s="1" t="s">
        <v>1581</v>
      </c>
    </row>
    <row r="64" spans="1:13" s="1" customFormat="1" x14ac:dyDescent="0.2">
      <c r="H64" s="1" t="s">
        <v>1582</v>
      </c>
    </row>
    <row r="65" spans="1:8" s="1" customFormat="1" x14ac:dyDescent="0.2">
      <c r="H65" s="1" t="s">
        <v>1583</v>
      </c>
    </row>
    <row r="66" spans="1:8" s="1" customFormat="1" ht="17" thickBot="1" x14ac:dyDescent="0.25"/>
    <row r="67" spans="1:8" s="1" customFormat="1" ht="17" thickBot="1" x14ac:dyDescent="0.25">
      <c r="A67" s="50" t="s">
        <v>2560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2561</v>
      </c>
    </row>
    <row r="69" spans="1:8" s="1" customFormat="1" x14ac:dyDescent="0.2">
      <c r="A69" s="1" t="s">
        <v>2562</v>
      </c>
    </row>
    <row r="70" spans="1:8" s="1" customFormat="1" x14ac:dyDescent="0.2">
      <c r="A70" s="1" t="s">
        <v>2563</v>
      </c>
    </row>
    <row r="71" spans="1:8" s="1" customFormat="1" x14ac:dyDescent="0.2">
      <c r="A71" s="361" t="s">
        <v>2566</v>
      </c>
      <c r="B71" s="361"/>
      <c r="C71" s="361"/>
      <c r="D71" s="361"/>
      <c r="E71" s="361"/>
      <c r="F71" s="361"/>
      <c r="G71" s="361"/>
      <c r="H71" s="361"/>
    </row>
    <row r="72" spans="1:8" s="1" customFormat="1" x14ac:dyDescent="0.2"/>
    <row r="73" spans="1:8" s="1" customFormat="1" x14ac:dyDescent="0.2">
      <c r="A73" s="1" t="s">
        <v>78</v>
      </c>
      <c r="H73" s="21" t="s">
        <v>280</v>
      </c>
    </row>
    <row r="74" spans="1:8" s="1" customFormat="1" x14ac:dyDescent="0.2"/>
    <row r="75" spans="1:8" s="1" customFormat="1" x14ac:dyDescent="0.2">
      <c r="A75" s="75" t="s">
        <v>71</v>
      </c>
      <c r="B75" s="75" t="s">
        <v>2564</v>
      </c>
      <c r="C75" s="75" t="s">
        <v>2565</v>
      </c>
      <c r="D75" s="75" t="s">
        <v>280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62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62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637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539</v>
      </c>
    </row>
    <row r="106" spans="1:11" s="1" customFormat="1" x14ac:dyDescent="0.2"/>
    <row r="107" spans="1:11" s="1" customFormat="1" x14ac:dyDescent="0.2">
      <c r="C107" s="21" t="s">
        <v>389</v>
      </c>
      <c r="D107" s="21" t="s">
        <v>538</v>
      </c>
    </row>
    <row r="108" spans="1:11" s="1" customFormat="1" x14ac:dyDescent="0.2">
      <c r="C108" s="21" t="s">
        <v>536</v>
      </c>
      <c r="D108" s="21">
        <v>10</v>
      </c>
    </row>
    <row r="109" spans="1:11" s="1" customFormat="1" x14ac:dyDescent="0.2">
      <c r="C109" s="21" t="s">
        <v>537</v>
      </c>
      <c r="D109" s="21">
        <v>30</v>
      </c>
    </row>
    <row r="110" spans="1:11" s="1" customFormat="1" x14ac:dyDescent="0.2"/>
    <row r="111" spans="1:11" s="1" customFormat="1" x14ac:dyDescent="0.2">
      <c r="A111" s="1" t="s">
        <v>540</v>
      </c>
      <c r="K111" s="1" t="s">
        <v>280</v>
      </c>
    </row>
    <row r="112" spans="1:11" s="1" customFormat="1" x14ac:dyDescent="0.2">
      <c r="A112" s="1" t="s">
        <v>534</v>
      </c>
      <c r="K112" s="1" t="s">
        <v>1588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698</v>
      </c>
      <c r="C115" s="21" t="s">
        <v>1586</v>
      </c>
      <c r="D115" s="21" t="s">
        <v>1587</v>
      </c>
    </row>
    <row r="116" spans="1:6" s="1" customFormat="1" x14ac:dyDescent="0.2">
      <c r="B116" s="21" t="s">
        <v>280</v>
      </c>
      <c r="C116" s="21" t="s">
        <v>280</v>
      </c>
      <c r="D116" s="21" t="s">
        <v>280</v>
      </c>
    </row>
    <row r="117" spans="1:6" s="1" customFormat="1" x14ac:dyDescent="0.2">
      <c r="A117" s="81" t="s">
        <v>71</v>
      </c>
      <c r="B117" s="81" t="s">
        <v>1584</v>
      </c>
      <c r="C117" s="81" t="s">
        <v>1585</v>
      </c>
      <c r="D117" s="81" t="s">
        <v>1341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1589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585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1590</v>
      </c>
    </row>
    <row r="135" spans="1:7" s="1" customFormat="1" x14ac:dyDescent="0.2">
      <c r="F135" s="1" t="s">
        <v>1591</v>
      </c>
      <c r="G135" s="1" t="s">
        <v>1592</v>
      </c>
    </row>
    <row r="136" spans="1:7" s="1" customFormat="1" x14ac:dyDescent="0.2">
      <c r="G136" s="1" t="s">
        <v>1593</v>
      </c>
    </row>
    <row r="137" spans="1:7" s="1" customFormat="1" x14ac:dyDescent="0.2">
      <c r="G137" s="1" t="s">
        <v>1594</v>
      </c>
    </row>
    <row r="138" spans="1:7" s="1" customFormat="1" x14ac:dyDescent="0.2">
      <c r="F138" s="1" t="s">
        <v>1595</v>
      </c>
      <c r="G138" s="1" t="s">
        <v>1596</v>
      </c>
    </row>
    <row r="139" spans="1:7" s="1" customFormat="1" x14ac:dyDescent="0.2">
      <c r="G139" s="1" t="s">
        <v>1597</v>
      </c>
    </row>
    <row r="140" spans="1:7" s="1" customFormat="1" x14ac:dyDescent="0.2">
      <c r="F140" s="1" t="s">
        <v>1598</v>
      </c>
      <c r="G140" s="1" t="s">
        <v>1599</v>
      </c>
    </row>
    <row r="141" spans="1:7" s="1" customFormat="1" x14ac:dyDescent="0.2">
      <c r="G141" s="1" t="s">
        <v>1600</v>
      </c>
    </row>
    <row r="142" spans="1:7" s="1" customFormat="1" x14ac:dyDescent="0.2">
      <c r="A142" s="4"/>
      <c r="F142" s="1" t="s">
        <v>1601</v>
      </c>
      <c r="G142" s="1" t="s">
        <v>1602</v>
      </c>
    </row>
    <row r="143" spans="1:7" s="1" customFormat="1" x14ac:dyDescent="0.2">
      <c r="G143" s="1" t="s">
        <v>1603</v>
      </c>
    </row>
    <row r="144" spans="1:7" s="1" customFormat="1" x14ac:dyDescent="0.2">
      <c r="G144" s="1" t="s">
        <v>1604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641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539</v>
      </c>
    </row>
    <row r="150" spans="1:8" s="1" customFormat="1" x14ac:dyDescent="0.2"/>
    <row r="151" spans="1:8" s="1" customFormat="1" x14ac:dyDescent="0.2">
      <c r="C151" s="21" t="s">
        <v>389</v>
      </c>
      <c r="D151" s="21" t="s">
        <v>538</v>
      </c>
    </row>
    <row r="152" spans="1:8" s="1" customFormat="1" x14ac:dyDescent="0.2">
      <c r="C152" s="21" t="s">
        <v>644</v>
      </c>
      <c r="D152" s="21">
        <v>10</v>
      </c>
    </row>
    <row r="153" spans="1:8" s="1" customFormat="1" x14ac:dyDescent="0.2">
      <c r="C153" s="21" t="s">
        <v>646</v>
      </c>
      <c r="D153" s="21">
        <v>25</v>
      </c>
    </row>
    <row r="154" spans="1:8" s="1" customFormat="1" x14ac:dyDescent="0.2">
      <c r="C154" s="21" t="s">
        <v>645</v>
      </c>
      <c r="D154" s="21">
        <v>30</v>
      </c>
    </row>
    <row r="155" spans="1:8" s="1" customFormat="1" x14ac:dyDescent="0.2">
      <c r="C155" s="21" t="s">
        <v>526</v>
      </c>
      <c r="D155" s="21">
        <v>8</v>
      </c>
    </row>
    <row r="156" spans="1:8" s="1" customFormat="1" x14ac:dyDescent="0.2"/>
    <row r="157" spans="1:8" s="1" customFormat="1" x14ac:dyDescent="0.2">
      <c r="A157" s="1" t="s">
        <v>651</v>
      </c>
    </row>
    <row r="158" spans="1:8" s="1" customFormat="1" x14ac:dyDescent="0.2">
      <c r="A158" s="1" t="s">
        <v>534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647</v>
      </c>
      <c r="C162" s="81" t="s">
        <v>648</v>
      </c>
      <c r="D162" s="81" t="s">
        <v>649</v>
      </c>
      <c r="E162" s="81" t="s">
        <v>650</v>
      </c>
      <c r="F162" s="81" t="s">
        <v>402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585</v>
      </c>
    </row>
    <row r="176" spans="1:6" s="1" customFormat="1" x14ac:dyDescent="0.2"/>
    <row r="177" spans="1:8" s="1" customFormat="1" x14ac:dyDescent="0.2">
      <c r="G177" s="1" t="s">
        <v>638</v>
      </c>
    </row>
    <row r="178" spans="1:8" x14ac:dyDescent="0.2">
      <c r="A178" s="1"/>
      <c r="B178" s="1"/>
      <c r="C178" s="1"/>
      <c r="D178" s="1"/>
      <c r="E178" s="1"/>
      <c r="F178" s="1"/>
      <c r="G178" s="1" t="s">
        <v>652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639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653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640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642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539</v>
      </c>
    </row>
    <row r="196" spans="1:8" s="1" customFormat="1" x14ac:dyDescent="0.2"/>
    <row r="197" spans="1:8" s="1" customFormat="1" x14ac:dyDescent="0.2">
      <c r="C197" s="21" t="s">
        <v>389</v>
      </c>
      <c r="D197" s="21" t="s">
        <v>538</v>
      </c>
    </row>
    <row r="198" spans="1:8" s="1" customFormat="1" x14ac:dyDescent="0.2">
      <c r="C198" s="21" t="s">
        <v>526</v>
      </c>
      <c r="D198" s="21">
        <v>10</v>
      </c>
    </row>
    <row r="199" spans="1:8" s="1" customFormat="1" x14ac:dyDescent="0.2">
      <c r="C199" s="21" t="s">
        <v>654</v>
      </c>
      <c r="D199" s="21">
        <v>30</v>
      </c>
    </row>
    <row r="200" spans="1:8" s="1" customFormat="1" x14ac:dyDescent="0.2">
      <c r="C200" s="21" t="s">
        <v>408</v>
      </c>
      <c r="D200" s="21">
        <v>5</v>
      </c>
    </row>
    <row r="201" spans="1:8" s="1" customFormat="1" x14ac:dyDescent="0.2">
      <c r="C201" s="21" t="s">
        <v>392</v>
      </c>
      <c r="D201" s="21">
        <v>20</v>
      </c>
    </row>
    <row r="202" spans="1:8" s="1" customFormat="1" x14ac:dyDescent="0.2"/>
    <row r="203" spans="1:8" s="1" customFormat="1" x14ac:dyDescent="0.2">
      <c r="A203" s="1" t="s">
        <v>643</v>
      </c>
    </row>
    <row r="204" spans="1:8" s="1" customFormat="1" x14ac:dyDescent="0.2">
      <c r="A204" s="1" t="s">
        <v>534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655</v>
      </c>
      <c r="C208" s="81" t="s">
        <v>656</v>
      </c>
      <c r="D208" s="81" t="s">
        <v>657</v>
      </c>
      <c r="E208" s="81" t="s">
        <v>658</v>
      </c>
      <c r="F208" s="81" t="s">
        <v>402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585</v>
      </c>
    </row>
    <row r="222" spans="1:8" s="1" customFormat="1" x14ac:dyDescent="0.2"/>
    <row r="223" spans="1:8" s="1" customFormat="1" x14ac:dyDescent="0.2">
      <c r="G223" s="1" t="s">
        <v>638</v>
      </c>
    </row>
    <row r="224" spans="1:8" x14ac:dyDescent="0.2">
      <c r="A224" s="1"/>
      <c r="B224" s="1"/>
      <c r="C224" s="1"/>
      <c r="D224" s="1"/>
      <c r="E224" s="1"/>
      <c r="F224" s="1"/>
      <c r="G224" s="1" t="s">
        <v>652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639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653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640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tabSelected="1" zoomScale="390" zoomScaleNormal="380" zoomScaleSheetLayoutView="227" workbookViewId="0">
      <selection activeCell="A2" sqref="A2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2600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1622</v>
      </c>
    </row>
    <row r="4" spans="1:8" x14ac:dyDescent="0.2">
      <c r="A4" s="1" t="s">
        <v>2567</v>
      </c>
    </row>
    <row r="5" spans="1:8" x14ac:dyDescent="0.2">
      <c r="A5" s="1" t="s">
        <v>1624</v>
      </c>
    </row>
    <row r="6" spans="1:8" x14ac:dyDescent="0.2">
      <c r="A6" s="1" t="s">
        <v>1625</v>
      </c>
    </row>
    <row r="7" spans="1:8" x14ac:dyDescent="0.2">
      <c r="A7" s="1" t="s">
        <v>1626</v>
      </c>
    </row>
    <row r="9" spans="1:8" x14ac:dyDescent="0.2">
      <c r="B9" s="4" t="s">
        <v>2568</v>
      </c>
      <c r="F9" s="4" t="s">
        <v>2569</v>
      </c>
    </row>
    <row r="10" spans="1:8" x14ac:dyDescent="0.2">
      <c r="H10" s="21" t="s">
        <v>280</v>
      </c>
    </row>
    <row r="11" spans="1:8" x14ac:dyDescent="0.2">
      <c r="B11" s="21" t="s">
        <v>374</v>
      </c>
      <c r="D11" s="21" t="s">
        <v>280</v>
      </c>
      <c r="F11" s="21" t="s">
        <v>371</v>
      </c>
    </row>
    <row r="12" spans="1:8" x14ac:dyDescent="0.2">
      <c r="B12" s="21" t="s">
        <v>1627</v>
      </c>
      <c r="F12" s="21" t="s">
        <v>1630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1608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381</v>
      </c>
      <c r="B28" s="1" t="s">
        <v>1609</v>
      </c>
      <c r="F28" s="46" t="s">
        <v>2570</v>
      </c>
      <c r="G28" s="113"/>
      <c r="H28" s="114"/>
    </row>
    <row r="29" spans="1:8" ht="17" thickBot="1" x14ac:dyDescent="0.25">
      <c r="A29" s="64"/>
      <c r="B29" s="1" t="s">
        <v>1610</v>
      </c>
      <c r="F29" s="110" t="s">
        <v>2571</v>
      </c>
      <c r="G29" s="115"/>
      <c r="H29" s="116"/>
    </row>
    <row r="30" spans="1:8" x14ac:dyDescent="0.2">
      <c r="A30" s="64"/>
      <c r="B30" s="1" t="s">
        <v>465</v>
      </c>
      <c r="C30" s="1" t="s">
        <v>508</v>
      </c>
      <c r="D30" s="1" t="s">
        <v>2082</v>
      </c>
      <c r="H30" s="42"/>
    </row>
    <row r="31" spans="1:8" x14ac:dyDescent="0.2">
      <c r="A31" s="64"/>
      <c r="B31" s="1" t="s">
        <v>506</v>
      </c>
      <c r="C31" s="1" t="s">
        <v>464</v>
      </c>
      <c r="D31" s="1" t="s">
        <v>1611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1612</v>
      </c>
      <c r="H33" s="42"/>
    </row>
    <row r="34" spans="1:8" x14ac:dyDescent="0.2">
      <c r="A34" s="64"/>
      <c r="B34" s="1" t="s">
        <v>1613</v>
      </c>
      <c r="H34" s="42"/>
    </row>
    <row r="35" spans="1:8" x14ac:dyDescent="0.2">
      <c r="A35" s="64"/>
      <c r="B35" s="1" t="s">
        <v>1547</v>
      </c>
      <c r="H35" s="42"/>
    </row>
    <row r="36" spans="1:8" x14ac:dyDescent="0.2">
      <c r="A36" s="64"/>
      <c r="H36" s="42"/>
    </row>
    <row r="37" spans="1:8" x14ac:dyDescent="0.2">
      <c r="A37" s="64" t="s">
        <v>383</v>
      </c>
      <c r="B37" s="1" t="s">
        <v>1614</v>
      </c>
      <c r="H37" s="42"/>
    </row>
    <row r="38" spans="1:8" x14ac:dyDescent="0.2">
      <c r="A38" s="64"/>
      <c r="H38" s="42"/>
    </row>
    <row r="39" spans="1:8" x14ac:dyDescent="0.2">
      <c r="A39" s="64" t="s">
        <v>385</v>
      </c>
      <c r="B39" s="1" t="s">
        <v>1631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386</v>
      </c>
      <c r="B41" s="44" t="s">
        <v>510</v>
      </c>
      <c r="C41" s="44"/>
      <c r="D41" s="44"/>
      <c r="E41" s="44"/>
      <c r="F41" s="44"/>
      <c r="G41" s="44"/>
      <c r="H41" s="45"/>
    </row>
    <row r="43" spans="1:8" x14ac:dyDescent="0.2">
      <c r="A43" s="230" t="s">
        <v>1616</v>
      </c>
      <c r="B43" s="230"/>
      <c r="C43" s="230"/>
      <c r="D43" s="230"/>
      <c r="E43" s="230"/>
      <c r="F43" s="230"/>
      <c r="G43" s="230"/>
      <c r="H43" s="230"/>
    </row>
    <row r="44" spans="1:8" x14ac:dyDescent="0.2">
      <c r="A44" s="1" t="s">
        <v>1617</v>
      </c>
    </row>
    <row r="45" spans="1:8" x14ac:dyDescent="0.2">
      <c r="A45" s="1" t="s">
        <v>1632</v>
      </c>
    </row>
    <row r="46" spans="1:8" x14ac:dyDescent="0.2">
      <c r="A46" s="1" t="s">
        <v>1618</v>
      </c>
    </row>
    <row r="47" spans="1:8" x14ac:dyDescent="0.2">
      <c r="D47" s="21" t="s">
        <v>1017</v>
      </c>
      <c r="E47" s="21" t="s">
        <v>741</v>
      </c>
    </row>
    <row r="48" spans="1:8" x14ac:dyDescent="0.2">
      <c r="D48" s="21">
        <v>8</v>
      </c>
      <c r="E48" s="21" t="s">
        <v>1619</v>
      </c>
    </row>
    <row r="49" spans="1:10" x14ac:dyDescent="0.2">
      <c r="D49" s="21">
        <v>3</v>
      </c>
      <c r="E49" s="21" t="s">
        <v>1620</v>
      </c>
    </row>
    <row r="51" spans="1:10" x14ac:dyDescent="0.2">
      <c r="A51" s="1" t="s">
        <v>1621</v>
      </c>
    </row>
    <row r="53" spans="1:10" x14ac:dyDescent="0.2">
      <c r="A53" s="1" t="s">
        <v>78</v>
      </c>
    </row>
    <row r="54" spans="1:10" x14ac:dyDescent="0.2">
      <c r="A54" s="1" t="s">
        <v>1634</v>
      </c>
    </row>
    <row r="55" spans="1:10" x14ac:dyDescent="0.2">
      <c r="A55" s="1" t="s">
        <v>1635</v>
      </c>
    </row>
    <row r="56" spans="1:10" x14ac:dyDescent="0.2">
      <c r="A56" s="1" t="s">
        <v>1636</v>
      </c>
    </row>
    <row r="57" spans="1:10" x14ac:dyDescent="0.2">
      <c r="C57" s="21" t="s">
        <v>2572</v>
      </c>
      <c r="D57" s="21" t="s">
        <v>2573</v>
      </c>
    </row>
    <row r="58" spans="1:10" x14ac:dyDescent="0.2">
      <c r="B58" s="21"/>
      <c r="C58" s="21" t="s">
        <v>1637</v>
      </c>
      <c r="D58" s="21" t="s">
        <v>1586</v>
      </c>
      <c r="E58" s="21"/>
    </row>
    <row r="59" spans="1:10" x14ac:dyDescent="0.2">
      <c r="B59" s="21" t="s">
        <v>897</v>
      </c>
      <c r="C59" s="21" t="s">
        <v>280</v>
      </c>
      <c r="D59" s="21" t="s">
        <v>1633</v>
      </c>
      <c r="E59" s="21" t="s">
        <v>1341</v>
      </c>
    </row>
    <row r="60" spans="1:10" x14ac:dyDescent="0.2">
      <c r="B60" s="75" t="s">
        <v>71</v>
      </c>
      <c r="C60" s="75" t="s">
        <v>1639</v>
      </c>
      <c r="D60" s="75" t="s">
        <v>1638</v>
      </c>
      <c r="E60" s="75" t="s">
        <v>280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280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371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1630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36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36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37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38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38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38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38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38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39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1640</v>
      </c>
      <c r="I77" s="113"/>
      <c r="J77" s="113"/>
      <c r="K77" s="114"/>
    </row>
    <row r="78" spans="2:11" ht="17" thickBot="1" x14ac:dyDescent="0.25">
      <c r="H78" s="110" t="s">
        <v>1641</v>
      </c>
      <c r="I78" s="115"/>
      <c r="J78" s="115"/>
      <c r="K78" s="116"/>
    </row>
    <row r="79" spans="2:11" x14ac:dyDescent="0.2">
      <c r="H79" s="1" t="s">
        <v>1642</v>
      </c>
      <c r="K79" s="21">
        <v>3</v>
      </c>
    </row>
    <row r="80" spans="2:11" x14ac:dyDescent="0.2">
      <c r="H80" s="1" t="s">
        <v>1643</v>
      </c>
      <c r="K80" s="21">
        <v>-8</v>
      </c>
    </row>
    <row r="81" spans="1:11" x14ac:dyDescent="0.2">
      <c r="H81" s="1" t="s">
        <v>1644</v>
      </c>
      <c r="K81" s="235">
        <f>K79+K80</f>
        <v>-5</v>
      </c>
    </row>
    <row r="82" spans="1:11" ht="17" thickBot="1" x14ac:dyDescent="0.25"/>
    <row r="83" spans="1:11" x14ac:dyDescent="0.2">
      <c r="B83" s="46" t="s">
        <v>1654</v>
      </c>
      <c r="C83" s="113"/>
      <c r="D83" s="113"/>
      <c r="E83" s="114"/>
      <c r="H83" s="46" t="s">
        <v>1645</v>
      </c>
      <c r="I83" s="113"/>
      <c r="J83" s="113"/>
      <c r="K83" s="114"/>
    </row>
    <row r="84" spans="1:11" x14ac:dyDescent="0.2">
      <c r="B84" s="111" t="s">
        <v>1655</v>
      </c>
      <c r="C84" s="4"/>
      <c r="D84" s="4"/>
      <c r="E84" s="96"/>
      <c r="H84" s="111" t="s">
        <v>1646</v>
      </c>
      <c r="I84" s="4"/>
      <c r="J84" s="4"/>
      <c r="K84" s="96"/>
    </row>
    <row r="85" spans="1:11" ht="17" thickBot="1" x14ac:dyDescent="0.25">
      <c r="B85" s="110" t="s">
        <v>1656</v>
      </c>
      <c r="C85" s="115"/>
      <c r="D85" s="115"/>
      <c r="E85" s="116"/>
      <c r="H85" s="110" t="s">
        <v>1647</v>
      </c>
      <c r="I85" s="115"/>
      <c r="J85" s="115"/>
      <c r="K85" s="116"/>
    </row>
    <row r="86" spans="1:11" ht="17" thickBot="1" x14ac:dyDescent="0.25"/>
    <row r="87" spans="1:11" x14ac:dyDescent="0.2">
      <c r="B87" s="46" t="s">
        <v>1657</v>
      </c>
      <c r="C87" s="113"/>
      <c r="D87" s="113"/>
      <c r="E87" s="114"/>
      <c r="H87" s="46" t="s">
        <v>1648</v>
      </c>
      <c r="I87" s="113"/>
      <c r="J87" s="113"/>
      <c r="K87" s="114"/>
    </row>
    <row r="88" spans="1:11" x14ac:dyDescent="0.2">
      <c r="B88" s="111" t="s">
        <v>1658</v>
      </c>
      <c r="C88" s="4"/>
      <c r="D88" s="4"/>
      <c r="E88" s="96"/>
      <c r="H88" s="111" t="s">
        <v>1649</v>
      </c>
      <c r="I88" s="4"/>
      <c r="J88" s="4"/>
      <c r="K88" s="96"/>
    </row>
    <row r="89" spans="1:11" ht="17" thickBot="1" x14ac:dyDescent="0.25">
      <c r="B89" s="110" t="s">
        <v>1659</v>
      </c>
      <c r="C89" s="115"/>
      <c r="D89" s="115"/>
      <c r="E89" s="116"/>
      <c r="H89" s="110" t="s">
        <v>1650</v>
      </c>
      <c r="I89" s="115"/>
      <c r="J89" s="115"/>
      <c r="K89" s="116"/>
    </row>
    <row r="91" spans="1:11" x14ac:dyDescent="0.2">
      <c r="H91" s="1" t="s">
        <v>1651</v>
      </c>
      <c r="K91" s="21">
        <v>45</v>
      </c>
    </row>
    <row r="92" spans="1:11" x14ac:dyDescent="0.2">
      <c r="H92" s="1" t="s">
        <v>1652</v>
      </c>
      <c r="K92" s="21">
        <v>5</v>
      </c>
    </row>
    <row r="93" spans="1:11" x14ac:dyDescent="0.2">
      <c r="H93" s="1" t="s">
        <v>1653</v>
      </c>
      <c r="K93" s="235">
        <f>K91+K92</f>
        <v>50</v>
      </c>
    </row>
    <row r="96" spans="1:11" x14ac:dyDescent="0.2">
      <c r="A96" s="230" t="s">
        <v>2574</v>
      </c>
      <c r="B96" s="230"/>
      <c r="C96" s="230"/>
      <c r="D96" s="230"/>
      <c r="E96" s="230"/>
      <c r="F96" s="230"/>
      <c r="G96" s="230"/>
      <c r="H96" s="230"/>
    </row>
    <row r="97" spans="1:5" x14ac:dyDescent="0.2">
      <c r="A97" s="1" t="s">
        <v>2575</v>
      </c>
    </row>
    <row r="98" spans="1:5" x14ac:dyDescent="0.2">
      <c r="A98" s="1" t="s">
        <v>2576</v>
      </c>
    </row>
    <row r="99" spans="1:5" x14ac:dyDescent="0.2">
      <c r="A99" s="1" t="s">
        <v>2577</v>
      </c>
    </row>
    <row r="100" spans="1:5" x14ac:dyDescent="0.2">
      <c r="A100" s="1" t="s">
        <v>2578</v>
      </c>
    </row>
    <row r="102" spans="1:5" x14ac:dyDescent="0.2">
      <c r="A102" s="1" t="s">
        <v>2583</v>
      </c>
      <c r="D102" s="21" t="s">
        <v>1017</v>
      </c>
      <c r="E102" s="21" t="s">
        <v>741</v>
      </c>
    </row>
    <row r="103" spans="1:5" x14ac:dyDescent="0.2">
      <c r="A103" s="1" t="s">
        <v>2584</v>
      </c>
      <c r="D103" s="21">
        <v>5</v>
      </c>
      <c r="E103" s="21" t="s">
        <v>526</v>
      </c>
    </row>
    <row r="104" spans="1:5" x14ac:dyDescent="0.2">
      <c r="D104" s="21">
        <v>25</v>
      </c>
      <c r="E104" s="21" t="s">
        <v>654</v>
      </c>
    </row>
    <row r="106" spans="1:5" x14ac:dyDescent="0.2">
      <c r="A106" s="1" t="s">
        <v>748</v>
      </c>
    </row>
    <row r="107" spans="1:5" x14ac:dyDescent="0.2">
      <c r="A107" s="1" t="s">
        <v>2579</v>
      </c>
    </row>
    <row r="108" spans="1:5" x14ac:dyDescent="0.2">
      <c r="A108" s="1" t="s">
        <v>2580</v>
      </c>
    </row>
    <row r="109" spans="1:5" x14ac:dyDescent="0.2">
      <c r="A109" s="1" t="s">
        <v>2581</v>
      </c>
    </row>
    <row r="110" spans="1:5" x14ac:dyDescent="0.2">
      <c r="A110" s="1" t="s">
        <v>2582</v>
      </c>
    </row>
    <row r="111" spans="1:5" x14ac:dyDescent="0.2">
      <c r="A111" s="1" t="s">
        <v>753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40" t="s">
        <v>2585</v>
      </c>
      <c r="D114" s="340" t="s">
        <v>2586</v>
      </c>
      <c r="E114" s="14" t="s">
        <v>402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8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41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2587</v>
      </c>
    </row>
    <row r="136" spans="1:5" x14ac:dyDescent="0.2">
      <c r="A136" s="1" t="s">
        <v>2589</v>
      </c>
    </row>
    <row r="137" spans="1:5" x14ac:dyDescent="0.2">
      <c r="A137" s="1" t="s">
        <v>2590</v>
      </c>
      <c r="E137" s="1" t="s">
        <v>2588</v>
      </c>
    </row>
    <row r="138" spans="1:5" x14ac:dyDescent="0.2">
      <c r="A138" s="1" t="s">
        <v>2591</v>
      </c>
    </row>
    <row r="139" spans="1:5" x14ac:dyDescent="0.2">
      <c r="A139" s="1" t="s">
        <v>2592</v>
      </c>
    </row>
    <row r="141" spans="1:5" x14ac:dyDescent="0.2">
      <c r="A141" s="1" t="s">
        <v>2593</v>
      </c>
    </row>
    <row r="142" spans="1:5" x14ac:dyDescent="0.2">
      <c r="A142" s="1" t="s">
        <v>2594</v>
      </c>
    </row>
    <row r="143" spans="1:5" x14ac:dyDescent="0.2">
      <c r="A143" s="1" t="s">
        <v>2595</v>
      </c>
    </row>
    <row r="144" spans="1:5" x14ac:dyDescent="0.2">
      <c r="A144" s="1" t="s">
        <v>2596</v>
      </c>
    </row>
    <row r="146" spans="1:1" x14ac:dyDescent="0.2">
      <c r="A146" s="1" t="s">
        <v>2597</v>
      </c>
    </row>
    <row r="147" spans="1:1" x14ac:dyDescent="0.2">
      <c r="A147" s="1" t="s">
        <v>2598</v>
      </c>
    </row>
    <row r="161" spans="1:8" ht="17" thickBot="1" x14ac:dyDescent="0.25"/>
    <row r="162" spans="1:8" ht="28" x14ac:dyDescent="0.3">
      <c r="A162" s="237" t="s">
        <v>1615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659</v>
      </c>
      <c r="B163" s="108" t="s">
        <v>660</v>
      </c>
      <c r="H163" s="27"/>
    </row>
    <row r="164" spans="1:8" s="25" customFormat="1" x14ac:dyDescent="0.2">
      <c r="A164" s="26" t="s">
        <v>661</v>
      </c>
      <c r="B164" s="25" t="s">
        <v>1660</v>
      </c>
      <c r="H164" s="27"/>
    </row>
    <row r="165" spans="1:8" s="25" customFormat="1" x14ac:dyDescent="0.2">
      <c r="A165" s="26" t="s">
        <v>662</v>
      </c>
      <c r="B165" s="25" t="s">
        <v>673</v>
      </c>
      <c r="H165" s="27"/>
    </row>
    <row r="166" spans="1:8" s="25" customFormat="1" x14ac:dyDescent="0.2">
      <c r="A166" s="26" t="s">
        <v>663</v>
      </c>
      <c r="B166" s="25" t="s">
        <v>664</v>
      </c>
      <c r="H166" s="27"/>
    </row>
    <row r="167" spans="1:8" s="25" customFormat="1" x14ac:dyDescent="0.2">
      <c r="A167" s="26" t="s">
        <v>674</v>
      </c>
      <c r="B167" s="25" t="s">
        <v>1661</v>
      </c>
      <c r="H167" s="27"/>
    </row>
    <row r="168" spans="1:8" s="25" customFormat="1" x14ac:dyDescent="0.2">
      <c r="A168" s="26"/>
      <c r="B168" s="25" t="s">
        <v>682</v>
      </c>
      <c r="H168" s="27"/>
    </row>
    <row r="169" spans="1:8" s="25" customFormat="1" x14ac:dyDescent="0.2">
      <c r="A169" s="26" t="s">
        <v>676</v>
      </c>
      <c r="B169" s="25" t="s">
        <v>1662</v>
      </c>
      <c r="H169" s="27"/>
    </row>
    <row r="170" spans="1:8" s="25" customFormat="1" x14ac:dyDescent="0.2">
      <c r="A170" s="26" t="s">
        <v>677</v>
      </c>
      <c r="B170" s="25" t="s">
        <v>1663</v>
      </c>
      <c r="H170" s="27"/>
    </row>
    <row r="171" spans="1:8" x14ac:dyDescent="0.2">
      <c r="A171" s="41"/>
      <c r="H171" s="42"/>
    </row>
    <row r="172" spans="1:8" x14ac:dyDescent="0.2">
      <c r="A172" s="236" t="s">
        <v>1664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665</v>
      </c>
      <c r="B173" s="1" t="s">
        <v>666</v>
      </c>
      <c r="H173" s="42"/>
    </row>
    <row r="174" spans="1:8" x14ac:dyDescent="0.2">
      <c r="A174" s="41" t="s">
        <v>667</v>
      </c>
      <c r="B174" s="1" t="s">
        <v>668</v>
      </c>
      <c r="H174" s="42"/>
    </row>
    <row r="175" spans="1:8" x14ac:dyDescent="0.2">
      <c r="A175" s="41" t="s">
        <v>669</v>
      </c>
      <c r="B175" s="1" t="s">
        <v>670</v>
      </c>
      <c r="H175" s="42"/>
    </row>
    <row r="176" spans="1:8" x14ac:dyDescent="0.2">
      <c r="A176" s="41" t="s">
        <v>671</v>
      </c>
      <c r="B176" s="1" t="s">
        <v>1606</v>
      </c>
      <c r="H176" s="42"/>
    </row>
    <row r="177" spans="1:8" x14ac:dyDescent="0.2">
      <c r="A177" s="41" t="s">
        <v>672</v>
      </c>
      <c r="B177" s="1" t="s">
        <v>1607</v>
      </c>
      <c r="H177" s="42"/>
    </row>
    <row r="178" spans="1:8" x14ac:dyDescent="0.2">
      <c r="A178" s="41"/>
      <c r="H178" s="42"/>
    </row>
    <row r="179" spans="1:8" x14ac:dyDescent="0.2">
      <c r="A179" s="236" t="s">
        <v>675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683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2599</v>
      </c>
    </row>
    <row r="184" spans="1:8" ht="17" thickBot="1" x14ac:dyDescent="0.25"/>
    <row r="185" spans="1:8" ht="17" thickBot="1" x14ac:dyDescent="0.25">
      <c r="A185" s="50" t="s">
        <v>678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626</v>
      </c>
    </row>
    <row r="188" spans="1:8" x14ac:dyDescent="0.2">
      <c r="C188" s="75" t="s">
        <v>389</v>
      </c>
      <c r="D188" s="75" t="s">
        <v>538</v>
      </c>
      <c r="F188" s="4"/>
    </row>
    <row r="189" spans="1:8" x14ac:dyDescent="0.2">
      <c r="C189" s="21" t="s">
        <v>536</v>
      </c>
      <c r="D189" s="21">
        <v>30</v>
      </c>
      <c r="F189" s="4"/>
    </row>
    <row r="190" spans="1:8" x14ac:dyDescent="0.2">
      <c r="C190" s="21" t="s">
        <v>537</v>
      </c>
      <c r="D190" s="21">
        <v>10</v>
      </c>
      <c r="F190" s="4"/>
    </row>
    <row r="191" spans="1:8" x14ac:dyDescent="0.2">
      <c r="C191" s="21" t="s">
        <v>391</v>
      </c>
      <c r="D191" s="21">
        <v>40</v>
      </c>
    </row>
    <row r="192" spans="1:8" x14ac:dyDescent="0.2">
      <c r="C192" s="21" t="s">
        <v>526</v>
      </c>
      <c r="D192" s="21">
        <v>30</v>
      </c>
    </row>
    <row r="194" spans="1:8" x14ac:dyDescent="0.2">
      <c r="A194" s="1" t="s">
        <v>679</v>
      </c>
    </row>
    <row r="195" spans="1:8" x14ac:dyDescent="0.2">
      <c r="A195" s="1" t="s">
        <v>680</v>
      </c>
    </row>
    <row r="196" spans="1:8" x14ac:dyDescent="0.2">
      <c r="A196" s="1" t="s">
        <v>681</v>
      </c>
    </row>
    <row r="197" spans="1:8" x14ac:dyDescent="0.2">
      <c r="A197" s="1" t="s">
        <v>627</v>
      </c>
    </row>
    <row r="198" spans="1:8" x14ac:dyDescent="0.2">
      <c r="A198" s="1" t="s">
        <v>628</v>
      </c>
    </row>
    <row r="199" spans="1:8" x14ac:dyDescent="0.2">
      <c r="A199" s="1" t="s">
        <v>629</v>
      </c>
    </row>
    <row r="200" spans="1:8" x14ac:dyDescent="0.2">
      <c r="A200" s="112" t="s">
        <v>739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626</v>
      </c>
    </row>
    <row r="203" spans="1:8" x14ac:dyDescent="0.2">
      <c r="C203" s="75" t="s">
        <v>389</v>
      </c>
      <c r="D203" s="75" t="s">
        <v>538</v>
      </c>
      <c r="F203" s="4"/>
    </row>
    <row r="204" spans="1:8" x14ac:dyDescent="0.2">
      <c r="C204" s="21" t="s">
        <v>536</v>
      </c>
      <c r="D204" s="21">
        <v>30</v>
      </c>
      <c r="F204" s="4"/>
    </row>
    <row r="205" spans="1:8" x14ac:dyDescent="0.2">
      <c r="C205" s="21" t="s">
        <v>537</v>
      </c>
      <c r="D205" s="21">
        <v>10</v>
      </c>
      <c r="F205" s="4"/>
    </row>
    <row r="206" spans="1:8" x14ac:dyDescent="0.2">
      <c r="C206" s="21" t="s">
        <v>391</v>
      </c>
      <c r="D206" s="21">
        <v>40</v>
      </c>
    </row>
    <row r="207" spans="1:8" x14ac:dyDescent="0.2">
      <c r="C207" s="21" t="s">
        <v>526</v>
      </c>
      <c r="D207" s="21">
        <v>30</v>
      </c>
    </row>
    <row r="208" spans="1:8" ht="17" thickBot="1" x14ac:dyDescent="0.25"/>
    <row r="209" spans="1:8" x14ac:dyDescent="0.2">
      <c r="A209" s="46" t="s">
        <v>679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680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684</v>
      </c>
    </row>
    <row r="213" spans="1:8" x14ac:dyDescent="0.2">
      <c r="A213" s="1" t="s">
        <v>686</v>
      </c>
    </row>
    <row r="214" spans="1:8" x14ac:dyDescent="0.2">
      <c r="A214" s="1" t="s">
        <v>687</v>
      </c>
    </row>
    <row r="215" spans="1:8" x14ac:dyDescent="0.2">
      <c r="A215" s="1" t="s">
        <v>685</v>
      </c>
    </row>
    <row r="217" spans="1:8" x14ac:dyDescent="0.2">
      <c r="A217" s="1" t="s">
        <v>688</v>
      </c>
      <c r="D217" s="1" t="s">
        <v>689</v>
      </c>
      <c r="E217" s="1" t="s">
        <v>701</v>
      </c>
    </row>
    <row r="218" spans="1:8" x14ac:dyDescent="0.2">
      <c r="A218" s="21" t="s">
        <v>697</v>
      </c>
      <c r="B218" s="1" t="s">
        <v>698</v>
      </c>
      <c r="D218" s="1" t="s">
        <v>690</v>
      </c>
      <c r="E218" s="1" t="s">
        <v>702</v>
      </c>
    </row>
    <row r="219" spans="1:8" x14ac:dyDescent="0.2">
      <c r="A219" s="21" t="s">
        <v>699</v>
      </c>
      <c r="B219" s="1" t="s">
        <v>700</v>
      </c>
      <c r="D219" s="1" t="s">
        <v>694</v>
      </c>
      <c r="E219" s="1" t="s">
        <v>703</v>
      </c>
    </row>
    <row r="220" spans="1:8" x14ac:dyDescent="0.2">
      <c r="D220" s="1" t="s">
        <v>695</v>
      </c>
      <c r="E220" s="1" t="s">
        <v>704</v>
      </c>
    </row>
    <row r="221" spans="1:8" x14ac:dyDescent="0.2">
      <c r="D221" s="1" t="s">
        <v>691</v>
      </c>
      <c r="E221" s="1" t="s">
        <v>705</v>
      </c>
    </row>
    <row r="222" spans="1:8" x14ac:dyDescent="0.2">
      <c r="D222" s="1" t="s">
        <v>693</v>
      </c>
      <c r="E222" s="1" t="s">
        <v>706</v>
      </c>
    </row>
    <row r="223" spans="1:8" x14ac:dyDescent="0.2">
      <c r="D223" s="1" t="s">
        <v>692</v>
      </c>
      <c r="E223" s="1" t="s">
        <v>707</v>
      </c>
    </row>
    <row r="224" spans="1:8" x14ac:dyDescent="0.2">
      <c r="D224" s="1" t="s">
        <v>696</v>
      </c>
      <c r="E224" s="1" t="s">
        <v>708</v>
      </c>
    </row>
    <row r="225" spans="1:8" ht="17" thickBot="1" x14ac:dyDescent="0.25"/>
    <row r="226" spans="1:8" x14ac:dyDescent="0.2">
      <c r="A226" s="46" t="s">
        <v>681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627</v>
      </c>
      <c r="H227" s="42"/>
    </row>
    <row r="228" spans="1:8" x14ac:dyDescent="0.2">
      <c r="A228" s="111" t="s">
        <v>628</v>
      </c>
      <c r="H228" s="42"/>
    </row>
    <row r="229" spans="1:8" ht="17" thickBot="1" x14ac:dyDescent="0.25">
      <c r="A229" s="110" t="s">
        <v>629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709</v>
      </c>
      <c r="C231" s="75" t="s">
        <v>389</v>
      </c>
      <c r="D231" s="75" t="s">
        <v>538</v>
      </c>
    </row>
    <row r="232" spans="1:8" x14ac:dyDescent="0.2">
      <c r="C232" s="21" t="s">
        <v>536</v>
      </c>
      <c r="D232" s="21">
        <v>30</v>
      </c>
    </row>
    <row r="233" spans="1:8" x14ac:dyDescent="0.2">
      <c r="C233" s="21" t="s">
        <v>537</v>
      </c>
      <c r="D233" s="21">
        <v>10</v>
      </c>
    </row>
    <row r="234" spans="1:8" x14ac:dyDescent="0.2">
      <c r="C234" s="21" t="s">
        <v>391</v>
      </c>
      <c r="D234" s="21">
        <v>40</v>
      </c>
    </row>
    <row r="235" spans="1:8" x14ac:dyDescent="0.2">
      <c r="C235" s="21" t="s">
        <v>526</v>
      </c>
      <c r="D235" s="21">
        <v>30</v>
      </c>
    </row>
    <row r="237" spans="1:8" x14ac:dyDescent="0.2">
      <c r="A237" s="1" t="s">
        <v>710</v>
      </c>
    </row>
    <row r="238" spans="1:8" x14ac:dyDescent="0.2">
      <c r="A238" s="1" t="s">
        <v>711</v>
      </c>
    </row>
    <row r="239" spans="1:8" x14ac:dyDescent="0.2">
      <c r="A239" s="1" t="s">
        <v>712</v>
      </c>
    </row>
    <row r="241" spans="1:7" x14ac:dyDescent="0.2">
      <c r="A241" s="4" t="s">
        <v>713</v>
      </c>
    </row>
    <row r="242" spans="1:7" x14ac:dyDescent="0.2">
      <c r="A242" s="1" t="s">
        <v>714</v>
      </c>
    </row>
    <row r="243" spans="1:7" x14ac:dyDescent="0.2">
      <c r="A243" s="1" t="s">
        <v>715</v>
      </c>
    </row>
    <row r="244" spans="1:7" x14ac:dyDescent="0.2">
      <c r="A244" s="1" t="s">
        <v>716</v>
      </c>
    </row>
    <row r="245" spans="1:7" x14ac:dyDescent="0.2">
      <c r="A245" s="1" t="s">
        <v>717</v>
      </c>
    </row>
    <row r="246" spans="1:7" x14ac:dyDescent="0.2">
      <c r="C246" s="57"/>
      <c r="D246" s="57"/>
      <c r="E246" s="57" t="s">
        <v>718</v>
      </c>
      <c r="F246" s="1" t="s">
        <v>723</v>
      </c>
    </row>
    <row r="247" spans="1:7" x14ac:dyDescent="0.2">
      <c r="E247" s="1" t="s">
        <v>719</v>
      </c>
    </row>
    <row r="248" spans="1:7" x14ac:dyDescent="0.2">
      <c r="E248" s="1" t="s">
        <v>720</v>
      </c>
    </row>
    <row r="249" spans="1:7" x14ac:dyDescent="0.2">
      <c r="A249" s="1" t="s">
        <v>721</v>
      </c>
    </row>
    <row r="250" spans="1:7" x14ac:dyDescent="0.2">
      <c r="A250" s="1" t="s">
        <v>722</v>
      </c>
    </row>
    <row r="252" spans="1:7" x14ac:dyDescent="0.2">
      <c r="E252" s="1" t="s">
        <v>213</v>
      </c>
    </row>
    <row r="253" spans="1:7" x14ac:dyDescent="0.2">
      <c r="E253" s="21" t="s">
        <v>280</v>
      </c>
    </row>
    <row r="254" spans="1:7" x14ac:dyDescent="0.2">
      <c r="G254" s="1" t="s">
        <v>724</v>
      </c>
    </row>
    <row r="255" spans="1:7" x14ac:dyDescent="0.2">
      <c r="G255" s="1" t="s">
        <v>725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63" t="s">
        <v>726</v>
      </c>
      <c r="G261" s="343"/>
    </row>
    <row r="262" spans="1:7" x14ac:dyDescent="0.2">
      <c r="F262" s="343"/>
      <c r="G262" s="343"/>
    </row>
    <row r="264" spans="1:7" x14ac:dyDescent="0.2">
      <c r="A264" s="1" t="s">
        <v>727</v>
      </c>
    </row>
    <row r="265" spans="1:7" x14ac:dyDescent="0.2">
      <c r="A265" s="1" t="s">
        <v>728</v>
      </c>
    </row>
    <row r="266" spans="1:7" x14ac:dyDescent="0.2">
      <c r="A266" s="1" t="s">
        <v>729</v>
      </c>
    </row>
    <row r="268" spans="1:7" x14ac:dyDescent="0.2">
      <c r="A268" s="1" t="s">
        <v>730</v>
      </c>
    </row>
    <row r="269" spans="1:7" x14ac:dyDescent="0.2">
      <c r="A269" s="1" t="s">
        <v>731</v>
      </c>
    </row>
    <row r="270" spans="1:7" x14ac:dyDescent="0.2">
      <c r="A270" s="1" t="s">
        <v>732</v>
      </c>
    </row>
    <row r="271" spans="1:7" x14ac:dyDescent="0.2">
      <c r="A271" s="1" t="s">
        <v>733</v>
      </c>
    </row>
    <row r="273" spans="1:5" x14ac:dyDescent="0.2">
      <c r="A273" s="1" t="s">
        <v>734</v>
      </c>
      <c r="E273" s="1" t="s">
        <v>213</v>
      </c>
    </row>
    <row r="274" spans="1:5" x14ac:dyDescent="0.2">
      <c r="E274" s="21" t="s">
        <v>280</v>
      </c>
    </row>
    <row r="280" spans="1:5" x14ac:dyDescent="0.2">
      <c r="B280" s="21" t="s">
        <v>71</v>
      </c>
    </row>
    <row r="285" spans="1:5" x14ac:dyDescent="0.2">
      <c r="A285" s="1" t="s">
        <v>735</v>
      </c>
    </row>
    <row r="286" spans="1:5" x14ac:dyDescent="0.2">
      <c r="A286" s="1" t="s">
        <v>736</v>
      </c>
    </row>
    <row r="287" spans="1:5" x14ac:dyDescent="0.2">
      <c r="A287" s="1" t="s">
        <v>737</v>
      </c>
    </row>
    <row r="288" spans="1:5" x14ac:dyDescent="0.2">
      <c r="A288" s="1" t="s">
        <v>738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DE5804-65DD-104F-BC40-3D9A75FB1668}">
  <dimension ref="A1:J356"/>
  <sheetViews>
    <sheetView rightToLeft="1" topLeftCell="A276" zoomScale="271" zoomScaleNormal="150" zoomScaleSheetLayoutView="309" workbookViewId="0">
      <selection activeCell="G316" sqref="G316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2245</v>
      </c>
      <c r="B1" s="2"/>
      <c r="C1" s="2"/>
      <c r="D1" s="2"/>
      <c r="E1" s="2"/>
      <c r="F1" s="2"/>
      <c r="G1" s="2"/>
      <c r="H1" s="3" t="s">
        <v>2244</v>
      </c>
    </row>
    <row r="2" spans="1:8" ht="17" thickBot="1" x14ac:dyDescent="0.25"/>
    <row r="3" spans="1:8" x14ac:dyDescent="0.2">
      <c r="A3" s="46" t="s">
        <v>308</v>
      </c>
      <c r="B3" s="39"/>
      <c r="C3" s="39"/>
      <c r="D3" s="39"/>
      <c r="E3" s="39"/>
      <c r="F3" s="39"/>
      <c r="G3" s="39"/>
      <c r="H3" s="40"/>
    </row>
    <row r="4" spans="1:8" x14ac:dyDescent="0.2">
      <c r="A4" s="41" t="s">
        <v>278</v>
      </c>
      <c r="H4" s="42"/>
    </row>
    <row r="5" spans="1:8" x14ac:dyDescent="0.2">
      <c r="A5" s="41" t="s">
        <v>279</v>
      </c>
      <c r="H5" s="42"/>
    </row>
    <row r="6" spans="1:8" ht="17" thickBot="1" x14ac:dyDescent="0.25">
      <c r="A6" s="43" t="s">
        <v>976</v>
      </c>
      <c r="B6" s="44"/>
      <c r="C6" s="44"/>
      <c r="D6" s="44"/>
      <c r="E6" s="44"/>
      <c r="F6" s="44"/>
      <c r="G6" s="44"/>
      <c r="H6" s="45"/>
    </row>
    <row r="7" spans="1:8" ht="17" thickBot="1" x14ac:dyDescent="0.25"/>
    <row r="8" spans="1:8" x14ac:dyDescent="0.2">
      <c r="A8" s="46" t="s">
        <v>983</v>
      </c>
      <c r="B8" s="39"/>
      <c r="C8" s="39"/>
      <c r="D8" s="39"/>
      <c r="E8" s="39"/>
      <c r="F8" s="39"/>
      <c r="G8" s="39"/>
      <c r="H8" s="40"/>
    </row>
    <row r="9" spans="1:8" s="25" customFormat="1" x14ac:dyDescent="0.2">
      <c r="A9" s="47" t="s">
        <v>255</v>
      </c>
      <c r="B9" s="25" t="s">
        <v>257</v>
      </c>
      <c r="H9" s="27"/>
    </row>
    <row r="10" spans="1:8" s="25" customFormat="1" x14ac:dyDescent="0.2">
      <c r="A10" s="145" t="s">
        <v>256</v>
      </c>
      <c r="B10" s="25" t="s">
        <v>258</v>
      </c>
      <c r="H10" s="27"/>
    </row>
    <row r="11" spans="1:8" s="25" customFormat="1" x14ac:dyDescent="0.2">
      <c r="A11" s="145" t="s">
        <v>246</v>
      </c>
      <c r="B11" s="25" t="s">
        <v>247</v>
      </c>
      <c r="H11" s="27"/>
    </row>
    <row r="12" spans="1:8" s="25" customFormat="1" x14ac:dyDescent="0.2">
      <c r="A12" s="47"/>
      <c r="B12" s="25" t="s">
        <v>248</v>
      </c>
      <c r="H12" s="27"/>
    </row>
    <row r="13" spans="1:8" s="25" customFormat="1" x14ac:dyDescent="0.2">
      <c r="A13" s="145" t="s">
        <v>71</v>
      </c>
      <c r="B13" s="25" t="s">
        <v>249</v>
      </c>
      <c r="H13" s="27"/>
    </row>
    <row r="14" spans="1:8" s="25" customFormat="1" x14ac:dyDescent="0.2">
      <c r="A14" s="145" t="s">
        <v>250</v>
      </c>
      <c r="B14" s="25" t="s">
        <v>251</v>
      </c>
      <c r="H14" s="27"/>
    </row>
    <row r="15" spans="1:8" s="25" customFormat="1" x14ac:dyDescent="0.2">
      <c r="A15" s="47" t="s">
        <v>252</v>
      </c>
      <c r="B15" s="25" t="s">
        <v>253</v>
      </c>
      <c r="H15" s="27"/>
    </row>
    <row r="16" spans="1:8" s="25" customFormat="1" x14ac:dyDescent="0.2">
      <c r="A16" s="47"/>
      <c r="B16" s="25" t="s">
        <v>254</v>
      </c>
      <c r="H16" s="27"/>
    </row>
    <row r="17" spans="1:8" s="25" customFormat="1" x14ac:dyDescent="0.2">
      <c r="A17" s="145" t="s">
        <v>239</v>
      </c>
      <c r="B17" s="25" t="s">
        <v>277</v>
      </c>
      <c r="H17" s="27"/>
    </row>
    <row r="18" spans="1:8" s="25" customFormat="1" x14ac:dyDescent="0.2">
      <c r="A18" s="47" t="s">
        <v>259</v>
      </c>
      <c r="B18" s="25" t="s">
        <v>262</v>
      </c>
      <c r="H18" s="27"/>
    </row>
    <row r="19" spans="1:8" s="25" customFormat="1" x14ac:dyDescent="0.2">
      <c r="A19" s="47" t="s">
        <v>260</v>
      </c>
      <c r="B19" s="25" t="s">
        <v>261</v>
      </c>
      <c r="H19" s="27"/>
    </row>
    <row r="20" spans="1:8" s="25" customFormat="1" x14ac:dyDescent="0.2">
      <c r="A20" s="145" t="s">
        <v>981</v>
      </c>
      <c r="B20" s="25" t="s">
        <v>982</v>
      </c>
      <c r="H20" s="27"/>
    </row>
    <row r="21" spans="1:8" s="25" customFormat="1" ht="17" thickBot="1" x14ac:dyDescent="0.25">
      <c r="A21" s="146" t="s">
        <v>280</v>
      </c>
      <c r="B21" s="29" t="s">
        <v>281</v>
      </c>
      <c r="C21" s="29"/>
      <c r="D21" s="29"/>
      <c r="E21" s="29"/>
      <c r="F21" s="29"/>
      <c r="G21" s="29"/>
      <c r="H21" s="30"/>
    </row>
    <row r="22" spans="1:8" ht="17" thickBot="1" x14ac:dyDescent="0.25"/>
    <row r="23" spans="1:8" ht="17" thickBot="1" x14ac:dyDescent="0.25">
      <c r="A23" s="142" t="s">
        <v>977</v>
      </c>
      <c r="B23" s="143"/>
      <c r="C23" s="143"/>
      <c r="D23" s="143"/>
      <c r="E23" s="143"/>
      <c r="F23" s="143"/>
      <c r="G23" s="143"/>
      <c r="H23" s="144"/>
    </row>
    <row r="25" spans="1:8" x14ac:dyDescent="0.2">
      <c r="A25" s="1" t="s">
        <v>978</v>
      </c>
    </row>
    <row r="26" spans="1:8" x14ac:dyDescent="0.2">
      <c r="A26" s="1" t="s">
        <v>984</v>
      </c>
    </row>
    <row r="27" spans="1:8" x14ac:dyDescent="0.2">
      <c r="A27" s="1" t="s">
        <v>996</v>
      </c>
    </row>
    <row r="28" spans="1:8" x14ac:dyDescent="0.2">
      <c r="A28" s="1" t="s">
        <v>979</v>
      </c>
    </row>
    <row r="29" spans="1:8" x14ac:dyDescent="0.2">
      <c r="A29" s="1" t="s">
        <v>980</v>
      </c>
    </row>
    <row r="31" spans="1:8" x14ac:dyDescent="0.2">
      <c r="A31" s="1" t="s">
        <v>78</v>
      </c>
    </row>
    <row r="32" spans="1:8" ht="17" thickBot="1" x14ac:dyDescent="0.25"/>
    <row r="33" spans="1:8" ht="17" thickBot="1" x14ac:dyDescent="0.25">
      <c r="A33" s="5" t="s">
        <v>984</v>
      </c>
      <c r="B33" s="6"/>
      <c r="C33" s="6"/>
      <c r="D33" s="6"/>
      <c r="E33" s="6"/>
      <c r="F33" s="6"/>
      <c r="G33" s="6"/>
      <c r="H33" s="7"/>
    </row>
    <row r="34" spans="1:8" x14ac:dyDescent="0.2">
      <c r="A34" s="13" t="s">
        <v>993</v>
      </c>
    </row>
    <row r="35" spans="1:8" x14ac:dyDescent="0.2">
      <c r="A35" s="1" t="s">
        <v>985</v>
      </c>
    </row>
    <row r="36" spans="1:8" x14ac:dyDescent="0.2">
      <c r="A36" s="1" t="s">
        <v>986</v>
      </c>
    </row>
    <row r="37" spans="1:8" x14ac:dyDescent="0.2">
      <c r="A37" s="1" t="s">
        <v>987</v>
      </c>
    </row>
    <row r="38" spans="1:8" x14ac:dyDescent="0.2">
      <c r="A38" s="1" t="s">
        <v>988</v>
      </c>
    </row>
    <row r="40" spans="1:8" x14ac:dyDescent="0.2">
      <c r="A40" s="1" t="s">
        <v>989</v>
      </c>
    </row>
    <row r="41" spans="1:8" x14ac:dyDescent="0.2">
      <c r="A41" s="1" t="s">
        <v>990</v>
      </c>
    </row>
    <row r="43" spans="1:8" x14ac:dyDescent="0.2">
      <c r="A43" s="1" t="s">
        <v>991</v>
      </c>
    </row>
    <row r="45" spans="1:8" x14ac:dyDescent="0.2">
      <c r="A45" s="4" t="s">
        <v>992</v>
      </c>
      <c r="B45" s="4"/>
      <c r="C45" s="4"/>
      <c r="D45" s="4"/>
      <c r="E45" s="4"/>
      <c r="F45" s="4"/>
      <c r="G45" s="4"/>
    </row>
    <row r="46" spans="1:8" x14ac:dyDescent="0.2">
      <c r="A46" s="4" t="s">
        <v>995</v>
      </c>
      <c r="B46" s="4"/>
      <c r="C46" s="4"/>
      <c r="D46" s="4"/>
      <c r="E46" s="4"/>
      <c r="F46" s="4"/>
      <c r="G46" s="4"/>
    </row>
    <row r="47" spans="1:8" x14ac:dyDescent="0.2">
      <c r="A47" s="4" t="s">
        <v>994</v>
      </c>
    </row>
    <row r="48" spans="1:8" ht="17" thickBot="1" x14ac:dyDescent="0.25"/>
    <row r="49" spans="1:8" ht="17" thickBot="1" x14ac:dyDescent="0.25">
      <c r="A49" s="5" t="s">
        <v>996</v>
      </c>
      <c r="B49" s="6"/>
      <c r="C49" s="6"/>
      <c r="D49" s="6"/>
      <c r="E49" s="6"/>
      <c r="F49" s="6"/>
      <c r="G49" s="6"/>
      <c r="H49" s="7"/>
    </row>
    <row r="50" spans="1:8" x14ac:dyDescent="0.2">
      <c r="A50" s="13" t="s">
        <v>1021</v>
      </c>
    </row>
    <row r="51" spans="1:8" x14ac:dyDescent="0.2">
      <c r="A51" s="1" t="s">
        <v>997</v>
      </c>
    </row>
    <row r="52" spans="1:8" x14ac:dyDescent="0.2">
      <c r="A52" s="1" t="s">
        <v>998</v>
      </c>
    </row>
    <row r="53" spans="1:8" x14ac:dyDescent="0.2">
      <c r="A53" s="1" t="s">
        <v>999</v>
      </c>
    </row>
    <row r="54" spans="1:8" x14ac:dyDescent="0.2">
      <c r="A54" s="1" t="s">
        <v>1000</v>
      </c>
    </row>
    <row r="55" spans="1:8" x14ac:dyDescent="0.2">
      <c r="A55" s="1" t="s">
        <v>1001</v>
      </c>
    </row>
    <row r="56" spans="1:8" x14ac:dyDescent="0.2">
      <c r="A56" s="1" t="s">
        <v>1002</v>
      </c>
    </row>
    <row r="57" spans="1:8" x14ac:dyDescent="0.2">
      <c r="A57" s="1" t="s">
        <v>1003</v>
      </c>
    </row>
    <row r="58" spans="1:8" x14ac:dyDescent="0.2">
      <c r="A58" s="4" t="s">
        <v>1004</v>
      </c>
    </row>
    <row r="59" spans="1:8" x14ac:dyDescent="0.2">
      <c r="A59" s="4" t="s">
        <v>1005</v>
      </c>
    </row>
    <row r="60" spans="1:8" ht="17" thickBot="1" x14ac:dyDescent="0.25"/>
    <row r="61" spans="1:8" ht="17" thickBot="1" x14ac:dyDescent="0.25">
      <c r="A61" s="5" t="s">
        <v>1006</v>
      </c>
      <c r="B61" s="8"/>
      <c r="C61" s="8"/>
      <c r="D61" s="8"/>
      <c r="E61" s="8"/>
      <c r="F61" s="8"/>
      <c r="G61" s="8"/>
      <c r="H61" s="9"/>
    </row>
    <row r="62" spans="1:8" x14ac:dyDescent="0.2">
      <c r="A62" s="13" t="s">
        <v>1021</v>
      </c>
    </row>
    <row r="63" spans="1:8" x14ac:dyDescent="0.2">
      <c r="A63" s="1" t="s">
        <v>1007</v>
      </c>
    </row>
    <row r="64" spans="1:8" x14ac:dyDescent="0.2">
      <c r="A64" s="1" t="s">
        <v>1009</v>
      </c>
    </row>
    <row r="65" spans="1:8" x14ac:dyDescent="0.2">
      <c r="A65" s="1" t="s">
        <v>1010</v>
      </c>
    </row>
    <row r="66" spans="1:8" x14ac:dyDescent="0.2">
      <c r="A66" s="1" t="s">
        <v>1008</v>
      </c>
    </row>
    <row r="67" spans="1:8" x14ac:dyDescent="0.2">
      <c r="A67" s="1" t="s">
        <v>1011</v>
      </c>
    </row>
    <row r="69" spans="1:8" x14ac:dyDescent="0.2">
      <c r="C69" s="1" t="s">
        <v>1012</v>
      </c>
      <c r="E69" s="18" t="s">
        <v>1013</v>
      </c>
      <c r="F69" s="18">
        <v>-50</v>
      </c>
    </row>
    <row r="71" spans="1:8" x14ac:dyDescent="0.2">
      <c r="C71" s="1" t="s">
        <v>1014</v>
      </c>
      <c r="E71" s="1" t="s">
        <v>1016</v>
      </c>
      <c r="F71" s="1">
        <v>20</v>
      </c>
      <c r="G71" s="1" t="s">
        <v>1015</v>
      </c>
    </row>
    <row r="72" spans="1:8" x14ac:dyDescent="0.2">
      <c r="E72" s="18" t="s">
        <v>1017</v>
      </c>
      <c r="F72" s="18">
        <v>-50</v>
      </c>
    </row>
    <row r="73" spans="1:8" x14ac:dyDescent="0.2">
      <c r="E73" s="1" t="s">
        <v>1018</v>
      </c>
      <c r="F73" s="1">
        <f>F71+F72</f>
        <v>-30</v>
      </c>
    </row>
    <row r="75" spans="1:8" x14ac:dyDescent="0.2">
      <c r="A75" s="1" t="s">
        <v>1019</v>
      </c>
    </row>
    <row r="76" spans="1:8" x14ac:dyDescent="0.2">
      <c r="A76" s="1" t="s">
        <v>1020</v>
      </c>
    </row>
    <row r="77" spans="1:8" ht="17" thickBot="1" x14ac:dyDescent="0.25"/>
    <row r="78" spans="1:8" ht="17" thickBot="1" x14ac:dyDescent="0.25">
      <c r="A78" s="5" t="s">
        <v>980</v>
      </c>
      <c r="B78" s="6"/>
      <c r="C78" s="6"/>
      <c r="D78" s="6"/>
      <c r="E78" s="6"/>
      <c r="F78" s="6"/>
      <c r="G78" s="6"/>
      <c r="H78" s="7"/>
    </row>
    <row r="79" spans="1:8" x14ac:dyDescent="0.2">
      <c r="A79" s="147" t="s">
        <v>1022</v>
      </c>
    </row>
    <row r="80" spans="1:8" x14ac:dyDescent="0.2">
      <c r="A80" s="1" t="s">
        <v>1023</v>
      </c>
    </row>
    <row r="81" spans="1:2" x14ac:dyDescent="0.2">
      <c r="A81" s="1" t="s">
        <v>1024</v>
      </c>
    </row>
    <row r="82" spans="1:2" x14ac:dyDescent="0.2">
      <c r="A82" s="1" t="s">
        <v>1025</v>
      </c>
    </row>
    <row r="83" spans="1:2" x14ac:dyDescent="0.2">
      <c r="A83" s="1" t="s">
        <v>1026</v>
      </c>
    </row>
    <row r="84" spans="1:2" x14ac:dyDescent="0.2">
      <c r="B84" s="1" t="s">
        <v>1027</v>
      </c>
    </row>
    <row r="85" spans="1:2" x14ac:dyDescent="0.2">
      <c r="B85" s="1" t="s">
        <v>1028</v>
      </c>
    </row>
    <row r="87" spans="1:2" x14ac:dyDescent="0.2">
      <c r="A87" s="4" t="s">
        <v>934</v>
      </c>
    </row>
    <row r="88" spans="1:2" x14ac:dyDescent="0.2">
      <c r="A88" s="1" t="s">
        <v>935</v>
      </c>
    </row>
    <row r="89" spans="1:2" x14ac:dyDescent="0.2">
      <c r="A89" s="1" t="s">
        <v>936</v>
      </c>
    </row>
    <row r="90" spans="1:2" x14ac:dyDescent="0.2">
      <c r="A90" s="1" t="s">
        <v>937</v>
      </c>
    </row>
    <row r="91" spans="1:2" x14ac:dyDescent="0.2">
      <c r="A91" s="1" t="s">
        <v>938</v>
      </c>
    </row>
    <row r="92" spans="1:2" x14ac:dyDescent="0.2">
      <c r="A92" s="1" t="s">
        <v>939</v>
      </c>
    </row>
    <row r="93" spans="1:2" x14ac:dyDescent="0.2">
      <c r="A93" s="1" t="s">
        <v>940</v>
      </c>
    </row>
    <row r="95" spans="1:2" ht="28" x14ac:dyDescent="0.3">
      <c r="A95" s="140" t="s">
        <v>941</v>
      </c>
    </row>
    <row r="97" spans="1:1" x14ac:dyDescent="0.2">
      <c r="A97" s="1" t="s">
        <v>942</v>
      </c>
    </row>
    <row r="98" spans="1:1" x14ac:dyDescent="0.2">
      <c r="A98" s="1" t="s">
        <v>943</v>
      </c>
    </row>
    <row r="99" spans="1:1" x14ac:dyDescent="0.2">
      <c r="A99" s="1" t="s">
        <v>944</v>
      </c>
    </row>
    <row r="101" spans="1:1" x14ac:dyDescent="0.2">
      <c r="A101" s="1" t="s">
        <v>945</v>
      </c>
    </row>
    <row r="102" spans="1:1" x14ac:dyDescent="0.2">
      <c r="A102" s="1" t="s">
        <v>946</v>
      </c>
    </row>
    <row r="103" spans="1:1" x14ac:dyDescent="0.2">
      <c r="A103" s="1" t="s">
        <v>947</v>
      </c>
    </row>
    <row r="105" spans="1:1" x14ac:dyDescent="0.2">
      <c r="A105" s="1" t="s">
        <v>948</v>
      </c>
    </row>
    <row r="106" spans="1:1" x14ac:dyDescent="0.2">
      <c r="A106" s="1" t="s">
        <v>949</v>
      </c>
    </row>
    <row r="107" spans="1:1" x14ac:dyDescent="0.2">
      <c r="A107" s="1" t="s">
        <v>950</v>
      </c>
    </row>
    <row r="109" spans="1:1" x14ac:dyDescent="0.2">
      <c r="A109" s="1" t="s">
        <v>951</v>
      </c>
    </row>
    <row r="111" spans="1:1" x14ac:dyDescent="0.2">
      <c r="A111" s="1" t="s">
        <v>952</v>
      </c>
    </row>
    <row r="113" spans="1:10" x14ac:dyDescent="0.2">
      <c r="A113" s="141" t="s">
        <v>953</v>
      </c>
      <c r="B113" s="141"/>
      <c r="C113" s="141"/>
      <c r="D113" s="141"/>
      <c r="E113" s="141"/>
      <c r="F113" s="141"/>
      <c r="G113" s="141"/>
      <c r="H113" s="141"/>
      <c r="I113" s="141"/>
    </row>
    <row r="115" spans="1:10" x14ac:dyDescent="0.2">
      <c r="A115" s="1" t="s">
        <v>958</v>
      </c>
    </row>
    <row r="116" spans="1:10" x14ac:dyDescent="0.2">
      <c r="A116" s="1" t="s">
        <v>954</v>
      </c>
    </row>
    <row r="117" spans="1:10" x14ac:dyDescent="0.2">
      <c r="A117" s="1" t="s">
        <v>955</v>
      </c>
    </row>
    <row r="118" spans="1:10" x14ac:dyDescent="0.2">
      <c r="A118" s="1" t="s">
        <v>956</v>
      </c>
    </row>
    <row r="120" spans="1:10" x14ac:dyDescent="0.2">
      <c r="A120" s="1" t="s">
        <v>957</v>
      </c>
    </row>
    <row r="121" spans="1:10" x14ac:dyDescent="0.2">
      <c r="A121" s="1" t="s">
        <v>959</v>
      </c>
      <c r="H121" s="1" t="s">
        <v>960</v>
      </c>
    </row>
    <row r="122" spans="1:10" x14ac:dyDescent="0.2">
      <c r="A122" s="1" t="s">
        <v>961</v>
      </c>
    </row>
    <row r="123" spans="1:10" x14ac:dyDescent="0.2">
      <c r="G123" s="21">
        <f>4.5-4.37</f>
        <v>0.12999999999999989</v>
      </c>
      <c r="H123" s="1" t="s">
        <v>962</v>
      </c>
      <c r="J123" s="1" t="s">
        <v>970</v>
      </c>
    </row>
    <row r="124" spans="1:10" x14ac:dyDescent="0.2">
      <c r="A124" s="1" t="s">
        <v>964</v>
      </c>
    </row>
    <row r="125" spans="1:10" x14ac:dyDescent="0.2">
      <c r="F125" s="21">
        <f>0.13*10000</f>
        <v>1300</v>
      </c>
      <c r="H125" s="1" t="s">
        <v>963</v>
      </c>
      <c r="J125" s="1" t="s">
        <v>971</v>
      </c>
    </row>
    <row r="126" spans="1:10" x14ac:dyDescent="0.2">
      <c r="A126" s="1" t="s">
        <v>965</v>
      </c>
    </row>
    <row r="127" spans="1:10" x14ac:dyDescent="0.2">
      <c r="H127" s="1" t="s">
        <v>966</v>
      </c>
      <c r="J127" s="1" t="s">
        <v>973</v>
      </c>
    </row>
    <row r="128" spans="1:10" x14ac:dyDescent="0.2">
      <c r="A128" s="1" t="s">
        <v>967</v>
      </c>
    </row>
    <row r="129" spans="1:8" x14ac:dyDescent="0.2">
      <c r="H129" s="1" t="s">
        <v>968</v>
      </c>
    </row>
    <row r="130" spans="1:8" x14ac:dyDescent="0.2">
      <c r="A130" s="1" t="s">
        <v>972</v>
      </c>
    </row>
    <row r="132" spans="1:8" x14ac:dyDescent="0.2">
      <c r="H132" s="1" t="s">
        <v>969</v>
      </c>
    </row>
    <row r="136" spans="1:8" x14ac:dyDescent="0.2">
      <c r="A136" s="1" t="s">
        <v>974</v>
      </c>
    </row>
    <row r="137" spans="1:8" x14ac:dyDescent="0.2">
      <c r="A137" s="1" t="s">
        <v>975</v>
      </c>
    </row>
    <row r="139" spans="1:8" x14ac:dyDescent="0.2">
      <c r="A139" s="4"/>
    </row>
    <row r="158" spans="1:8" ht="17" thickBot="1" x14ac:dyDescent="0.25"/>
    <row r="159" spans="1:8" ht="17" thickBot="1" x14ac:dyDescent="0.25">
      <c r="A159" s="142" t="s">
        <v>1029</v>
      </c>
      <c r="B159" s="143"/>
      <c r="C159" s="143"/>
      <c r="D159" s="143"/>
      <c r="E159" s="143"/>
      <c r="F159" s="143"/>
      <c r="G159" s="143"/>
      <c r="H159" s="144"/>
    </row>
    <row r="160" spans="1:8" x14ac:dyDescent="0.2">
      <c r="A160" s="1" t="s">
        <v>1030</v>
      </c>
    </row>
    <row r="161" spans="1:1" x14ac:dyDescent="0.2">
      <c r="A161" s="1" t="s">
        <v>1031</v>
      </c>
    </row>
    <row r="163" spans="1:1" x14ac:dyDescent="0.2">
      <c r="A163" s="1" t="s">
        <v>1032</v>
      </c>
    </row>
    <row r="164" spans="1:1" x14ac:dyDescent="0.2">
      <c r="A164" s="1" t="s">
        <v>1034</v>
      </c>
    </row>
    <row r="165" spans="1:1" x14ac:dyDescent="0.2">
      <c r="A165" s="1" t="s">
        <v>1033</v>
      </c>
    </row>
    <row r="166" spans="1:1" x14ac:dyDescent="0.2">
      <c r="A166" s="1" t="s">
        <v>1035</v>
      </c>
    </row>
    <row r="167" spans="1:1" x14ac:dyDescent="0.2">
      <c r="A167" s="1" t="s">
        <v>1036</v>
      </c>
    </row>
    <row r="169" spans="1:1" x14ac:dyDescent="0.2">
      <c r="A169" s="4" t="s">
        <v>1037</v>
      </c>
    </row>
    <row r="170" spans="1:1" x14ac:dyDescent="0.2">
      <c r="A170" s="1" t="s">
        <v>1047</v>
      </c>
    </row>
    <row r="171" spans="1:1" x14ac:dyDescent="0.2">
      <c r="A171" s="1" t="s">
        <v>1049</v>
      </c>
    </row>
    <row r="172" spans="1:1" x14ac:dyDescent="0.2">
      <c r="A172" s="1" t="s">
        <v>1038</v>
      </c>
    </row>
    <row r="173" spans="1:1" x14ac:dyDescent="0.2">
      <c r="A173" s="1" t="s">
        <v>1039</v>
      </c>
    </row>
    <row r="174" spans="1:1" x14ac:dyDescent="0.2">
      <c r="A174" s="1" t="s">
        <v>1040</v>
      </c>
    </row>
    <row r="175" spans="1:1" x14ac:dyDescent="0.2">
      <c r="A175" s="1" t="s">
        <v>1041</v>
      </c>
    </row>
    <row r="176" spans="1:1" x14ac:dyDescent="0.2">
      <c r="A176" s="1" t="s">
        <v>1045</v>
      </c>
    </row>
    <row r="178" spans="1:9" x14ac:dyDescent="0.2">
      <c r="A178" s="1" t="s">
        <v>1042</v>
      </c>
      <c r="G178" s="1" t="s">
        <v>1043</v>
      </c>
      <c r="H178" s="21" t="s">
        <v>92</v>
      </c>
      <c r="I178" s="21" t="s">
        <v>1048</v>
      </c>
    </row>
    <row r="179" spans="1:9" x14ac:dyDescent="0.2">
      <c r="A179" s="1" t="s">
        <v>1044</v>
      </c>
      <c r="G179" s="1" t="s">
        <v>1046</v>
      </c>
      <c r="H179" s="1" t="s">
        <v>1050</v>
      </c>
    </row>
    <row r="181" spans="1:9" x14ac:dyDescent="0.2">
      <c r="A181" s="4" t="s">
        <v>1051</v>
      </c>
    </row>
    <row r="182" spans="1:9" x14ac:dyDescent="0.2">
      <c r="A182" s="1" t="s">
        <v>1052</v>
      </c>
    </row>
    <row r="183" spans="1:9" x14ac:dyDescent="0.2">
      <c r="A183" s="1" t="s">
        <v>1053</v>
      </c>
    </row>
    <row r="184" spans="1:9" x14ac:dyDescent="0.2">
      <c r="G184" s="1" t="s">
        <v>1043</v>
      </c>
    </row>
    <row r="185" spans="1:9" x14ac:dyDescent="0.2">
      <c r="G185" s="1" t="s">
        <v>1055</v>
      </c>
    </row>
    <row r="187" spans="1:9" x14ac:dyDescent="0.2">
      <c r="A187" s="1" t="s">
        <v>1054</v>
      </c>
      <c r="E187" s="1" t="s">
        <v>1056</v>
      </c>
    </row>
    <row r="188" spans="1:9" x14ac:dyDescent="0.2">
      <c r="A188" s="1" t="s">
        <v>1057</v>
      </c>
      <c r="E188" s="1" t="s">
        <v>1058</v>
      </c>
    </row>
    <row r="190" spans="1:9" x14ac:dyDescent="0.2">
      <c r="A190" s="1" t="s">
        <v>1059</v>
      </c>
    </row>
    <row r="191" spans="1:9" x14ac:dyDescent="0.2">
      <c r="A191" s="128" t="s">
        <v>1061</v>
      </c>
      <c r="E191" s="1" t="s">
        <v>1060</v>
      </c>
    </row>
    <row r="192" spans="1:9" x14ac:dyDescent="0.2">
      <c r="A192" s="128" t="s">
        <v>1062</v>
      </c>
    </row>
    <row r="193" spans="1:8" ht="17" thickBot="1" x14ac:dyDescent="0.25"/>
    <row r="194" spans="1:8" ht="17" thickBot="1" x14ac:dyDescent="0.25">
      <c r="A194" s="142" t="s">
        <v>1063</v>
      </c>
      <c r="B194" s="143"/>
      <c r="C194" s="143"/>
      <c r="D194" s="143"/>
      <c r="E194" s="143"/>
      <c r="F194" s="143"/>
      <c r="G194" s="143"/>
      <c r="H194" s="144"/>
    </row>
    <row r="196" spans="1:8" x14ac:dyDescent="0.2">
      <c r="A196" s="1" t="s">
        <v>1064</v>
      </c>
    </row>
    <row r="197" spans="1:8" x14ac:dyDescent="0.2">
      <c r="A197" s="1" t="s">
        <v>1065</v>
      </c>
    </row>
    <row r="198" spans="1:8" x14ac:dyDescent="0.2">
      <c r="A198" s="1" t="s">
        <v>1066</v>
      </c>
    </row>
    <row r="200" spans="1:8" x14ac:dyDescent="0.2">
      <c r="A200" s="1" t="s">
        <v>1067</v>
      </c>
    </row>
    <row r="201" spans="1:8" x14ac:dyDescent="0.2">
      <c r="A201" s="1" t="s">
        <v>1068</v>
      </c>
    </row>
    <row r="202" spans="1:8" x14ac:dyDescent="0.2">
      <c r="A202" s="1" t="s">
        <v>1069</v>
      </c>
    </row>
    <row r="203" spans="1:8" x14ac:dyDescent="0.2">
      <c r="A203" s="1" t="s">
        <v>1070</v>
      </c>
    </row>
    <row r="205" spans="1:8" x14ac:dyDescent="0.2">
      <c r="A205" s="4" t="s">
        <v>1032</v>
      </c>
      <c r="B205" s="4"/>
      <c r="C205" s="4"/>
      <c r="D205" s="4"/>
      <c r="E205" s="4"/>
      <c r="F205" s="4"/>
      <c r="G205" s="4"/>
      <c r="H205" s="4"/>
    </row>
    <row r="206" spans="1:8" x14ac:dyDescent="0.2">
      <c r="A206" s="1" t="s">
        <v>1071</v>
      </c>
    </row>
    <row r="207" spans="1:8" x14ac:dyDescent="0.2">
      <c r="A207" s="1" t="s">
        <v>1072</v>
      </c>
    </row>
    <row r="208" spans="1:8" x14ac:dyDescent="0.2">
      <c r="A208" s="1" t="s">
        <v>1073</v>
      </c>
    </row>
    <row r="211" spans="1:9" x14ac:dyDescent="0.2">
      <c r="A211" s="1" t="s">
        <v>1074</v>
      </c>
      <c r="F211" s="1" t="s">
        <v>1075</v>
      </c>
    </row>
    <row r="212" spans="1:9" x14ac:dyDescent="0.2">
      <c r="B212" s="1" t="s">
        <v>1076</v>
      </c>
      <c r="G212" s="1" t="s">
        <v>1077</v>
      </c>
    </row>
    <row r="213" spans="1:9" x14ac:dyDescent="0.2">
      <c r="A213" s="21" t="s">
        <v>212</v>
      </c>
      <c r="B213" s="21" t="s">
        <v>72</v>
      </c>
      <c r="F213" s="75" t="s">
        <v>212</v>
      </c>
      <c r="G213" s="75" t="s">
        <v>72</v>
      </c>
      <c r="I213" s="1" t="s">
        <v>343</v>
      </c>
    </row>
    <row r="214" spans="1:9" x14ac:dyDescent="0.2">
      <c r="A214" s="75" t="s">
        <v>71</v>
      </c>
      <c r="B214" s="75" t="s">
        <v>239</v>
      </c>
      <c r="C214" s="1" t="s">
        <v>1090</v>
      </c>
      <c r="F214" s="21" t="s">
        <v>71</v>
      </c>
      <c r="G214" s="21" t="s">
        <v>239</v>
      </c>
      <c r="I214" s="1" t="s">
        <v>1078</v>
      </c>
    </row>
    <row r="215" spans="1:9" x14ac:dyDescent="0.2">
      <c r="A215" s="21">
        <v>40</v>
      </c>
      <c r="B215" s="21">
        <f>100-A215</f>
        <v>60</v>
      </c>
      <c r="C215" s="1" t="s">
        <v>1091</v>
      </c>
      <c r="F215" s="21">
        <v>40</v>
      </c>
      <c r="G215" s="21">
        <v>0</v>
      </c>
      <c r="I215" s="1" t="s">
        <v>1079</v>
      </c>
    </row>
    <row r="216" spans="1:9" x14ac:dyDescent="0.2">
      <c r="A216" s="21">
        <f t="shared" ref="A216:A225" si="0">A215+10</f>
        <v>50</v>
      </c>
      <c r="B216" s="21">
        <f>100-A216</f>
        <v>50</v>
      </c>
      <c r="C216" s="1" t="s">
        <v>1092</v>
      </c>
      <c r="F216" s="21">
        <f t="shared" ref="F216:F225" si="1">F215+10</f>
        <v>50</v>
      </c>
      <c r="G216" s="21">
        <v>0</v>
      </c>
      <c r="I216" s="1" t="s">
        <v>1080</v>
      </c>
    </row>
    <row r="217" spans="1:9" x14ac:dyDescent="0.2">
      <c r="A217" s="21">
        <f t="shared" si="0"/>
        <v>60</v>
      </c>
      <c r="B217" s="21">
        <f>100-60</f>
        <v>40</v>
      </c>
      <c r="D217" s="1" t="s">
        <v>198</v>
      </c>
      <c r="F217" s="21">
        <f t="shared" si="1"/>
        <v>60</v>
      </c>
      <c r="G217" s="21">
        <v>0</v>
      </c>
      <c r="I217" s="1" t="s">
        <v>1081</v>
      </c>
    </row>
    <row r="218" spans="1:9" x14ac:dyDescent="0.2">
      <c r="A218" s="21">
        <f t="shared" si="0"/>
        <v>70</v>
      </c>
      <c r="B218" s="21">
        <f>100-70</f>
        <v>30</v>
      </c>
      <c r="C218" s="1" t="s">
        <v>1093</v>
      </c>
      <c r="F218" s="21">
        <f t="shared" si="1"/>
        <v>70</v>
      </c>
      <c r="G218" s="21">
        <v>0</v>
      </c>
      <c r="I218" s="1" t="s">
        <v>1082</v>
      </c>
    </row>
    <row r="219" spans="1:9" x14ac:dyDescent="0.2">
      <c r="A219" s="21">
        <f t="shared" si="0"/>
        <v>80</v>
      </c>
      <c r="B219" s="21">
        <f>100-80</f>
        <v>20</v>
      </c>
      <c r="C219" s="1" t="s">
        <v>1094</v>
      </c>
      <c r="F219" s="21">
        <f t="shared" si="1"/>
        <v>80</v>
      </c>
      <c r="G219" s="21">
        <v>0</v>
      </c>
      <c r="I219" s="1" t="s">
        <v>1083</v>
      </c>
    </row>
    <row r="220" spans="1:9" x14ac:dyDescent="0.2">
      <c r="A220" s="21">
        <f t="shared" si="0"/>
        <v>90</v>
      </c>
      <c r="B220" s="21">
        <f>100-90</f>
        <v>10</v>
      </c>
      <c r="C220" s="1" t="s">
        <v>1095</v>
      </c>
      <c r="F220" s="21">
        <f t="shared" si="1"/>
        <v>90</v>
      </c>
      <c r="G220" s="21">
        <v>0</v>
      </c>
      <c r="I220" s="1" t="s">
        <v>1084</v>
      </c>
    </row>
    <row r="221" spans="1:9" x14ac:dyDescent="0.2">
      <c r="A221" s="21">
        <f t="shared" si="0"/>
        <v>100</v>
      </c>
      <c r="B221" s="21">
        <v>0</v>
      </c>
      <c r="C221" s="1" t="s">
        <v>1096</v>
      </c>
      <c r="F221" s="21">
        <f t="shared" si="1"/>
        <v>100</v>
      </c>
      <c r="G221" s="21">
        <v>0</v>
      </c>
      <c r="I221" s="1" t="s">
        <v>1085</v>
      </c>
    </row>
    <row r="222" spans="1:9" x14ac:dyDescent="0.2">
      <c r="A222" s="21">
        <f t="shared" si="0"/>
        <v>110</v>
      </c>
      <c r="B222" s="21">
        <v>0</v>
      </c>
      <c r="F222" s="21">
        <f t="shared" si="1"/>
        <v>110</v>
      </c>
      <c r="G222" s="21">
        <v>10</v>
      </c>
      <c r="I222" s="1" t="s">
        <v>1086</v>
      </c>
    </row>
    <row r="223" spans="1:9" x14ac:dyDescent="0.2">
      <c r="A223" s="21">
        <f t="shared" si="0"/>
        <v>120</v>
      </c>
      <c r="B223" s="21">
        <v>0</v>
      </c>
      <c r="F223" s="21">
        <f t="shared" si="1"/>
        <v>120</v>
      </c>
      <c r="G223" s="21">
        <v>20</v>
      </c>
      <c r="I223" s="1" t="s">
        <v>1087</v>
      </c>
    </row>
    <row r="224" spans="1:9" x14ac:dyDescent="0.2">
      <c r="A224" s="21">
        <f t="shared" si="0"/>
        <v>130</v>
      </c>
      <c r="B224" s="21">
        <v>0</v>
      </c>
      <c r="F224" s="21">
        <f t="shared" si="1"/>
        <v>130</v>
      </c>
      <c r="G224" s="21">
        <v>30</v>
      </c>
      <c r="I224" s="1" t="s">
        <v>1088</v>
      </c>
    </row>
    <row r="225" spans="1:9" x14ac:dyDescent="0.2">
      <c r="A225" s="21">
        <f t="shared" si="0"/>
        <v>140</v>
      </c>
      <c r="B225" s="21">
        <v>0</v>
      </c>
      <c r="F225" s="21">
        <f t="shared" si="1"/>
        <v>140</v>
      </c>
      <c r="G225" s="21">
        <v>40</v>
      </c>
      <c r="I225" s="1" t="s">
        <v>1089</v>
      </c>
    </row>
    <row r="226" spans="1:9" ht="17" thickBot="1" x14ac:dyDescent="0.25"/>
    <row r="227" spans="1:9" ht="17" thickBot="1" x14ac:dyDescent="0.25">
      <c r="A227" s="142" t="s">
        <v>1097</v>
      </c>
      <c r="B227" s="143"/>
      <c r="C227" s="143"/>
      <c r="D227" s="143"/>
      <c r="E227" s="143"/>
      <c r="F227" s="143"/>
      <c r="G227" s="143"/>
      <c r="H227" s="144"/>
    </row>
    <row r="228" spans="1:9" x14ac:dyDescent="0.2">
      <c r="A228" s="1" t="s">
        <v>1098</v>
      </c>
    </row>
    <row r="229" spans="1:9" x14ac:dyDescent="0.2">
      <c r="A229" s="1" t="s">
        <v>1101</v>
      </c>
    </row>
    <row r="231" spans="1:9" x14ac:dyDescent="0.2">
      <c r="A231" s="1" t="s">
        <v>1099</v>
      </c>
    </row>
    <row r="232" spans="1:9" x14ac:dyDescent="0.2">
      <c r="A232" s="1" t="s">
        <v>1100</v>
      </c>
    </row>
    <row r="233" spans="1:9" x14ac:dyDescent="0.2">
      <c r="A233" s="1" t="s">
        <v>1115</v>
      </c>
    </row>
    <row r="235" spans="1:9" x14ac:dyDescent="0.2">
      <c r="A235" s="1" t="s">
        <v>78</v>
      </c>
    </row>
    <row r="236" spans="1:9" ht="17" thickBot="1" x14ac:dyDescent="0.25"/>
    <row r="237" spans="1:9" ht="17" thickBot="1" x14ac:dyDescent="0.25">
      <c r="A237" s="148" t="s">
        <v>1037</v>
      </c>
    </row>
    <row r="238" spans="1:9" x14ac:dyDescent="0.2">
      <c r="A238" s="1" t="s">
        <v>1102</v>
      </c>
    </row>
    <row r="239" spans="1:9" x14ac:dyDescent="0.2">
      <c r="A239" s="1" t="s">
        <v>1103</v>
      </c>
    </row>
    <row r="240" spans="1:9" x14ac:dyDescent="0.2">
      <c r="A240" s="1" t="s">
        <v>1104</v>
      </c>
    </row>
    <row r="241" spans="1:8" x14ac:dyDescent="0.2">
      <c r="A241" s="1" t="s">
        <v>1105</v>
      </c>
      <c r="E241" s="149">
        <v>150</v>
      </c>
      <c r="F241" s="149" t="s">
        <v>1018</v>
      </c>
    </row>
    <row r="242" spans="1:8" ht="17" thickBot="1" x14ac:dyDescent="0.25"/>
    <row r="243" spans="1:8" ht="17" thickBot="1" x14ac:dyDescent="0.25">
      <c r="A243" s="148" t="s">
        <v>1051</v>
      </c>
    </row>
    <row r="244" spans="1:8" x14ac:dyDescent="0.2">
      <c r="A244" s="1" t="s">
        <v>1106</v>
      </c>
    </row>
    <row r="245" spans="1:8" x14ac:dyDescent="0.2">
      <c r="A245" s="1" t="s">
        <v>1107</v>
      </c>
    </row>
    <row r="246" spans="1:8" x14ac:dyDescent="0.2">
      <c r="A246" s="1" t="s">
        <v>1108</v>
      </c>
    </row>
    <row r="247" spans="1:8" x14ac:dyDescent="0.2">
      <c r="F247" s="1" t="s">
        <v>1109</v>
      </c>
      <c r="H247" s="1" t="s">
        <v>1111</v>
      </c>
    </row>
    <row r="248" spans="1:8" x14ac:dyDescent="0.2">
      <c r="F248" s="1" t="s">
        <v>1110</v>
      </c>
    </row>
    <row r="249" spans="1:8" ht="17" thickBot="1" x14ac:dyDescent="0.25"/>
    <row r="250" spans="1:8" ht="17" thickBot="1" x14ac:dyDescent="0.25">
      <c r="A250" s="148" t="s">
        <v>1112</v>
      </c>
    </row>
    <row r="251" spans="1:8" x14ac:dyDescent="0.2">
      <c r="A251" s="128"/>
      <c r="F251" s="1" t="s">
        <v>1113</v>
      </c>
    </row>
    <row r="252" spans="1:8" x14ac:dyDescent="0.2">
      <c r="A252" s="128"/>
      <c r="F252" s="4" t="s">
        <v>1114</v>
      </c>
    </row>
    <row r="254" spans="1:8" ht="21" x14ac:dyDescent="0.25">
      <c r="A254" s="153" t="s">
        <v>2249</v>
      </c>
      <c r="B254" s="154"/>
      <c r="C254" s="154"/>
      <c r="D254" s="154"/>
      <c r="E254" s="154"/>
      <c r="F254" s="154"/>
    </row>
    <row r="255" spans="1:8" ht="17" thickBot="1" x14ac:dyDescent="0.25">
      <c r="A255" s="4"/>
    </row>
    <row r="256" spans="1:8" ht="17" thickBot="1" x14ac:dyDescent="0.25">
      <c r="A256" s="15" t="s">
        <v>1116</v>
      </c>
      <c r="B256" s="16"/>
      <c r="C256" s="16"/>
      <c r="D256" s="16"/>
      <c r="E256" s="16"/>
      <c r="F256" s="16"/>
      <c r="G256" s="16"/>
      <c r="H256" s="17"/>
    </row>
    <row r="257" spans="1:8" x14ac:dyDescent="0.2">
      <c r="A257" s="48" t="s">
        <v>330</v>
      </c>
    </row>
    <row r="258" spans="1:8" x14ac:dyDescent="0.2">
      <c r="A258" s="48" t="s">
        <v>331</v>
      </c>
    </row>
    <row r="260" spans="1:8" x14ac:dyDescent="0.2">
      <c r="A260" s="4" t="s">
        <v>78</v>
      </c>
    </row>
    <row r="262" spans="1:8" x14ac:dyDescent="0.2">
      <c r="A262" s="1" t="s">
        <v>332</v>
      </c>
      <c r="C262" s="1" t="s">
        <v>333</v>
      </c>
    </row>
    <row r="263" spans="1:8" x14ac:dyDescent="0.2">
      <c r="A263" s="1" t="s">
        <v>334</v>
      </c>
      <c r="C263" s="1">
        <f>3.8-3.2</f>
        <v>0.59999999999999964</v>
      </c>
    </row>
    <row r="264" spans="1:8" x14ac:dyDescent="0.2">
      <c r="A264" s="1" t="s">
        <v>335</v>
      </c>
      <c r="C264" s="55">
        <v>10000</v>
      </c>
    </row>
    <row r="265" spans="1:8" x14ac:dyDescent="0.2">
      <c r="A265" s="1" t="s">
        <v>336</v>
      </c>
      <c r="C265" s="1">
        <f>C263*C264</f>
        <v>5999.9999999999964</v>
      </c>
    </row>
    <row r="266" spans="1:8" x14ac:dyDescent="0.2">
      <c r="A266" s="1" t="s">
        <v>337</v>
      </c>
      <c r="C266" s="1">
        <v>-2200</v>
      </c>
    </row>
    <row r="267" spans="1:8" x14ac:dyDescent="0.2">
      <c r="A267" s="1" t="s">
        <v>338</v>
      </c>
      <c r="C267" s="1">
        <f>C265+C266</f>
        <v>3799.9999999999964</v>
      </c>
    </row>
    <row r="268" spans="1:8" ht="17" thickBot="1" x14ac:dyDescent="0.25"/>
    <row r="269" spans="1:8" ht="17" thickBot="1" x14ac:dyDescent="0.25">
      <c r="A269" s="15" t="s">
        <v>1117</v>
      </c>
      <c r="B269" s="16"/>
      <c r="C269" s="16"/>
      <c r="D269" s="16"/>
      <c r="E269" s="16"/>
      <c r="F269" s="16"/>
      <c r="G269" s="16"/>
      <c r="H269" s="17"/>
    </row>
    <row r="270" spans="1:8" x14ac:dyDescent="0.2">
      <c r="A270" s="1" t="s">
        <v>323</v>
      </c>
    </row>
    <row r="271" spans="1:8" x14ac:dyDescent="0.2">
      <c r="A271" s="1" t="s">
        <v>324</v>
      </c>
    </row>
    <row r="272" spans="1:8" x14ac:dyDescent="0.2">
      <c r="A272" s="1" t="s">
        <v>326</v>
      </c>
    </row>
    <row r="274" spans="1:5" x14ac:dyDescent="0.2">
      <c r="B274" s="345" t="s">
        <v>328</v>
      </c>
      <c r="C274" s="345"/>
      <c r="D274" s="352" t="s">
        <v>329</v>
      </c>
      <c r="E274" s="352"/>
    </row>
    <row r="275" spans="1:5" ht="49" x14ac:dyDescent="0.2">
      <c r="A275" s="21" t="s">
        <v>71</v>
      </c>
      <c r="B275" s="56" t="s">
        <v>325</v>
      </c>
      <c r="C275" s="56" t="s">
        <v>327</v>
      </c>
      <c r="D275" s="56" t="s">
        <v>325</v>
      </c>
      <c r="E275" s="56" t="s">
        <v>327</v>
      </c>
    </row>
    <row r="276" spans="1:5" x14ac:dyDescent="0.2">
      <c r="A276" s="21">
        <v>2.8</v>
      </c>
      <c r="B276" s="21">
        <f>0*10000</f>
        <v>0</v>
      </c>
      <c r="C276" s="49">
        <f>B276-2000</f>
        <v>-2000</v>
      </c>
      <c r="D276" s="21">
        <f>B276*3</f>
        <v>0</v>
      </c>
      <c r="E276" s="49">
        <f>D276-2000*3</f>
        <v>-6000</v>
      </c>
    </row>
    <row r="277" spans="1:5" x14ac:dyDescent="0.2">
      <c r="A277" s="21">
        <f>A276+0.1</f>
        <v>2.9</v>
      </c>
      <c r="B277" s="21">
        <f t="shared" ref="B277:B282" si="2">0*10000</f>
        <v>0</v>
      </c>
      <c r="C277" s="49">
        <f t="shared" ref="C277:C288" si="3">B277-2000</f>
        <v>-2000</v>
      </c>
      <c r="D277" s="21">
        <f t="shared" ref="D277:D288" si="4">B277*3</f>
        <v>0</v>
      </c>
      <c r="E277" s="49">
        <f t="shared" ref="E277:E288" si="5">D277-2000*3</f>
        <v>-6000</v>
      </c>
    </row>
    <row r="278" spans="1:5" x14ac:dyDescent="0.2">
      <c r="A278" s="21">
        <f t="shared" ref="A278:A286" si="6">A277+0.1</f>
        <v>3</v>
      </c>
      <c r="B278" s="21">
        <f t="shared" si="2"/>
        <v>0</v>
      </c>
      <c r="C278" s="49">
        <f t="shared" si="3"/>
        <v>-2000</v>
      </c>
      <c r="D278" s="21">
        <f t="shared" si="4"/>
        <v>0</v>
      </c>
      <c r="E278" s="49">
        <f t="shared" si="5"/>
        <v>-6000</v>
      </c>
    </row>
    <row r="279" spans="1:5" x14ac:dyDescent="0.2">
      <c r="A279" s="21">
        <f t="shared" si="6"/>
        <v>3.1</v>
      </c>
      <c r="B279" s="21">
        <f t="shared" si="2"/>
        <v>0</v>
      </c>
      <c r="C279" s="49">
        <f t="shared" si="3"/>
        <v>-2000</v>
      </c>
      <c r="D279" s="21">
        <f t="shared" si="4"/>
        <v>0</v>
      </c>
      <c r="E279" s="49">
        <f t="shared" si="5"/>
        <v>-6000</v>
      </c>
    </row>
    <row r="280" spans="1:5" x14ac:dyDescent="0.2">
      <c r="A280" s="21">
        <f t="shared" si="6"/>
        <v>3.2</v>
      </c>
      <c r="B280" s="21">
        <f t="shared" si="2"/>
        <v>0</v>
      </c>
      <c r="C280" s="49">
        <f t="shared" si="3"/>
        <v>-2000</v>
      </c>
      <c r="D280" s="21">
        <f t="shared" si="4"/>
        <v>0</v>
      </c>
      <c r="E280" s="49">
        <f t="shared" si="5"/>
        <v>-6000</v>
      </c>
    </row>
    <row r="281" spans="1:5" x14ac:dyDescent="0.2">
      <c r="A281" s="21">
        <f t="shared" si="6"/>
        <v>3.3000000000000003</v>
      </c>
      <c r="B281" s="21">
        <f t="shared" si="2"/>
        <v>0</v>
      </c>
      <c r="C281" s="49">
        <f t="shared" si="3"/>
        <v>-2000</v>
      </c>
      <c r="D281" s="21">
        <f t="shared" si="4"/>
        <v>0</v>
      </c>
      <c r="E281" s="49">
        <f t="shared" si="5"/>
        <v>-6000</v>
      </c>
    </row>
    <row r="282" spans="1:5" x14ac:dyDescent="0.2">
      <c r="A282" s="21">
        <f t="shared" si="6"/>
        <v>3.4000000000000004</v>
      </c>
      <c r="B282" s="21">
        <f t="shared" si="2"/>
        <v>0</v>
      </c>
      <c r="C282" s="49">
        <f t="shared" si="3"/>
        <v>-2000</v>
      </c>
      <c r="D282" s="21">
        <f t="shared" si="4"/>
        <v>0</v>
      </c>
      <c r="E282" s="49">
        <f t="shared" si="5"/>
        <v>-6000</v>
      </c>
    </row>
    <row r="283" spans="1:5" x14ac:dyDescent="0.2">
      <c r="A283" s="21">
        <f t="shared" si="6"/>
        <v>3.5000000000000004</v>
      </c>
      <c r="B283" s="49">
        <f>(A283-3.4)*10000</f>
        <v>1000.0000000000053</v>
      </c>
      <c r="C283" s="49">
        <f t="shared" si="3"/>
        <v>-999.99999999999466</v>
      </c>
      <c r="D283" s="21">
        <f t="shared" si="4"/>
        <v>3000.0000000000159</v>
      </c>
      <c r="E283" s="49">
        <f t="shared" si="5"/>
        <v>-2999.9999999999841</v>
      </c>
    </row>
    <row r="284" spans="1:5" x14ac:dyDescent="0.2">
      <c r="A284" s="21">
        <f t="shared" si="6"/>
        <v>3.6000000000000005</v>
      </c>
      <c r="B284" s="49">
        <f t="shared" ref="B284:B288" si="7">(A284-3.4)*10000</f>
        <v>2000.0000000000061</v>
      </c>
      <c r="C284" s="49">
        <f t="shared" si="3"/>
        <v>6.1390892369672656E-12</v>
      </c>
      <c r="D284" s="21">
        <f t="shared" si="4"/>
        <v>6000.0000000000182</v>
      </c>
      <c r="E284" s="49">
        <f t="shared" si="5"/>
        <v>1.8189894035458565E-11</v>
      </c>
    </row>
    <row r="285" spans="1:5" x14ac:dyDescent="0.2">
      <c r="A285" s="21">
        <f>A284+0.1</f>
        <v>3.7000000000000006</v>
      </c>
      <c r="B285" s="49">
        <f t="shared" si="7"/>
        <v>3000.0000000000073</v>
      </c>
      <c r="C285" s="49">
        <f t="shared" si="3"/>
        <v>1000.0000000000073</v>
      </c>
      <c r="D285" s="21">
        <f t="shared" si="4"/>
        <v>9000.0000000000218</v>
      </c>
      <c r="E285" s="49">
        <f t="shared" si="5"/>
        <v>3000.0000000000218</v>
      </c>
    </row>
    <row r="286" spans="1:5" x14ac:dyDescent="0.2">
      <c r="A286" s="21">
        <f t="shared" si="6"/>
        <v>3.8000000000000007</v>
      </c>
      <c r="B286" s="49">
        <f t="shared" si="7"/>
        <v>4000.0000000000082</v>
      </c>
      <c r="C286" s="49">
        <f t="shared" si="3"/>
        <v>2000.0000000000082</v>
      </c>
      <c r="D286" s="21">
        <f t="shared" si="4"/>
        <v>12000.000000000025</v>
      </c>
      <c r="E286" s="49">
        <f t="shared" si="5"/>
        <v>6000.0000000000255</v>
      </c>
    </row>
    <row r="287" spans="1:5" x14ac:dyDescent="0.2">
      <c r="A287" s="21">
        <f t="shared" ref="A287:A288" si="8">A286+0.1</f>
        <v>3.9000000000000008</v>
      </c>
      <c r="B287" s="49">
        <f t="shared" si="7"/>
        <v>5000.0000000000091</v>
      </c>
      <c r="C287" s="49">
        <f t="shared" si="3"/>
        <v>3000.0000000000091</v>
      </c>
      <c r="D287" s="21">
        <f t="shared" si="4"/>
        <v>15000.000000000027</v>
      </c>
      <c r="E287" s="49">
        <f t="shared" si="5"/>
        <v>9000.0000000000273</v>
      </c>
    </row>
    <row r="288" spans="1:5" x14ac:dyDescent="0.2">
      <c r="A288" s="21">
        <f t="shared" si="8"/>
        <v>4.0000000000000009</v>
      </c>
      <c r="B288" s="49">
        <f t="shared" si="7"/>
        <v>6000.00000000001</v>
      </c>
      <c r="C288" s="49">
        <f t="shared" si="3"/>
        <v>4000.00000000001</v>
      </c>
      <c r="D288" s="21">
        <f t="shared" si="4"/>
        <v>18000.000000000029</v>
      </c>
      <c r="E288" s="49">
        <f t="shared" si="5"/>
        <v>12000.000000000029</v>
      </c>
    </row>
    <row r="289" spans="1:9" ht="17" thickBot="1" x14ac:dyDescent="0.25"/>
    <row r="290" spans="1:9" ht="17" thickBot="1" x14ac:dyDescent="0.25">
      <c r="A290" s="151" t="s">
        <v>1118</v>
      </c>
      <c r="B290" s="51"/>
      <c r="C290" s="51"/>
      <c r="D290" s="51"/>
      <c r="E290" s="51"/>
      <c r="F290" s="51"/>
      <c r="G290" s="150"/>
      <c r="H290" s="152"/>
      <c r="I290" s="53"/>
    </row>
    <row r="292" spans="1:9" x14ac:dyDescent="0.2">
      <c r="A292" s="1" t="s">
        <v>1119</v>
      </c>
    </row>
    <row r="293" spans="1:9" x14ac:dyDescent="0.2">
      <c r="A293" s="1" t="s">
        <v>1120</v>
      </c>
    </row>
    <row r="294" spans="1:9" x14ac:dyDescent="0.2">
      <c r="A294" s="1" t="s">
        <v>1121</v>
      </c>
    </row>
    <row r="295" spans="1:9" x14ac:dyDescent="0.2">
      <c r="A295" s="1" t="s">
        <v>1122</v>
      </c>
    </row>
    <row r="297" spans="1:9" x14ac:dyDescent="0.2">
      <c r="A297" s="4" t="s">
        <v>1123</v>
      </c>
    </row>
    <row r="299" spans="1:9" x14ac:dyDescent="0.2">
      <c r="A299" s="21" t="s">
        <v>71</v>
      </c>
      <c r="B299" s="21" t="s">
        <v>280</v>
      </c>
    </row>
    <row r="300" spans="1:9" x14ac:dyDescent="0.2">
      <c r="A300" s="21">
        <v>0</v>
      </c>
      <c r="B300" s="21">
        <f>(40-0)*100-500</f>
        <v>3500</v>
      </c>
    </row>
    <row r="301" spans="1:9" x14ac:dyDescent="0.2">
      <c r="A301" s="21">
        <f>A300+10</f>
        <v>10</v>
      </c>
      <c r="B301" s="21">
        <f>(40-10)*100-500</f>
        <v>2500</v>
      </c>
    </row>
    <row r="302" spans="1:9" x14ac:dyDescent="0.2">
      <c r="A302" s="21">
        <f t="shared" ref="A302:A310" si="9">A301+10</f>
        <v>20</v>
      </c>
      <c r="B302" s="21">
        <f>(40-20)*100-500</f>
        <v>1500</v>
      </c>
    </row>
    <row r="303" spans="1:9" x14ac:dyDescent="0.2">
      <c r="A303" s="21">
        <f t="shared" si="9"/>
        <v>30</v>
      </c>
      <c r="B303" s="21">
        <f>(40-30)*100-500</f>
        <v>500</v>
      </c>
    </row>
    <row r="304" spans="1:9" x14ac:dyDescent="0.2">
      <c r="A304" s="21">
        <f t="shared" si="9"/>
        <v>40</v>
      </c>
      <c r="B304" s="21">
        <v>-500</v>
      </c>
    </row>
    <row r="305" spans="1:9" x14ac:dyDescent="0.2">
      <c r="A305" s="21">
        <f t="shared" si="9"/>
        <v>50</v>
      </c>
      <c r="B305" s="21">
        <f>B304</f>
        <v>-500</v>
      </c>
    </row>
    <row r="306" spans="1:9" x14ac:dyDescent="0.2">
      <c r="A306" s="21">
        <f t="shared" si="9"/>
        <v>60</v>
      </c>
      <c r="B306" s="21">
        <f t="shared" ref="B306:B310" si="10">B305</f>
        <v>-500</v>
      </c>
    </row>
    <row r="307" spans="1:9" x14ac:dyDescent="0.2">
      <c r="A307" s="21">
        <f t="shared" si="9"/>
        <v>70</v>
      </c>
      <c r="B307" s="21">
        <f t="shared" si="10"/>
        <v>-500</v>
      </c>
    </row>
    <row r="308" spans="1:9" x14ac:dyDescent="0.2">
      <c r="A308" s="21">
        <f t="shared" si="9"/>
        <v>80</v>
      </c>
      <c r="B308" s="21">
        <f t="shared" si="10"/>
        <v>-500</v>
      </c>
    </row>
    <row r="309" spans="1:9" x14ac:dyDescent="0.2">
      <c r="A309" s="21">
        <f t="shared" si="9"/>
        <v>90</v>
      </c>
      <c r="B309" s="21">
        <f t="shared" si="10"/>
        <v>-500</v>
      </c>
    </row>
    <row r="310" spans="1:9" x14ac:dyDescent="0.2">
      <c r="A310" s="21">
        <f t="shared" si="9"/>
        <v>100</v>
      </c>
      <c r="B310" s="21">
        <f t="shared" si="10"/>
        <v>-500</v>
      </c>
    </row>
    <row r="311" spans="1:9" ht="17" thickBot="1" x14ac:dyDescent="0.25"/>
    <row r="312" spans="1:9" ht="17" thickBot="1" x14ac:dyDescent="0.25">
      <c r="A312" s="151" t="s">
        <v>1124</v>
      </c>
      <c r="B312" s="51"/>
      <c r="C312" s="51"/>
      <c r="D312" s="51"/>
      <c r="E312" s="51"/>
      <c r="F312" s="51"/>
      <c r="G312" s="150"/>
      <c r="H312" s="152"/>
      <c r="I312" s="53"/>
    </row>
    <row r="314" spans="1:9" x14ac:dyDescent="0.2">
      <c r="A314" s="1" t="s">
        <v>1126</v>
      </c>
    </row>
    <row r="315" spans="1:9" x14ac:dyDescent="0.2">
      <c r="A315" s="1" t="s">
        <v>1125</v>
      </c>
    </row>
    <row r="316" spans="1:9" x14ac:dyDescent="0.2">
      <c r="A316" s="1" t="s">
        <v>1127</v>
      </c>
    </row>
    <row r="317" spans="1:9" x14ac:dyDescent="0.2">
      <c r="A317" s="1" t="s">
        <v>1128</v>
      </c>
    </row>
    <row r="318" spans="1:9" x14ac:dyDescent="0.2">
      <c r="A318" s="1" t="s">
        <v>1129</v>
      </c>
    </row>
    <row r="319" spans="1:9" x14ac:dyDescent="0.2">
      <c r="A319" s="1" t="s">
        <v>1130</v>
      </c>
    </row>
    <row r="321" spans="1:8" x14ac:dyDescent="0.2">
      <c r="A321" s="1" t="s">
        <v>78</v>
      </c>
      <c r="B321" s="1" t="s">
        <v>1254</v>
      </c>
      <c r="C321" s="1" t="s">
        <v>1255</v>
      </c>
    </row>
    <row r="322" spans="1:8" x14ac:dyDescent="0.2">
      <c r="A322" s="1" t="s">
        <v>1131</v>
      </c>
      <c r="B322" s="1">
        <v>-500</v>
      </c>
      <c r="C322" s="1">
        <f>B322*3</f>
        <v>-1500</v>
      </c>
    </row>
    <row r="323" spans="1:8" x14ac:dyDescent="0.2">
      <c r="A323" s="1" t="s">
        <v>809</v>
      </c>
      <c r="B323" s="1">
        <v>-500</v>
      </c>
      <c r="C323" s="1">
        <f>B323*3</f>
        <v>-1500</v>
      </c>
    </row>
    <row r="324" spans="1:8" x14ac:dyDescent="0.2">
      <c r="A324" s="1" t="s">
        <v>1132</v>
      </c>
      <c r="B324" s="1">
        <f>(1000-200)*100-500</f>
        <v>79500</v>
      </c>
      <c r="C324" s="1">
        <f>B324*3</f>
        <v>238500</v>
      </c>
    </row>
    <row r="325" spans="1:8" ht="17" thickBot="1" x14ac:dyDescent="0.25"/>
    <row r="326" spans="1:8" ht="17" thickBot="1" x14ac:dyDescent="0.25">
      <c r="A326" s="15" t="s">
        <v>1150</v>
      </c>
      <c r="B326" s="16"/>
      <c r="C326" s="16"/>
      <c r="D326" s="16"/>
      <c r="E326" s="16"/>
      <c r="F326" s="16"/>
      <c r="G326" s="16"/>
      <c r="H326" s="17"/>
    </row>
    <row r="328" spans="1:8" x14ac:dyDescent="0.2">
      <c r="A328" s="1" t="s">
        <v>270</v>
      </c>
    </row>
    <row r="329" spans="1:8" x14ac:dyDescent="0.2">
      <c r="A329" s="1" t="s">
        <v>271</v>
      </c>
    </row>
    <row r="330" spans="1:8" x14ac:dyDescent="0.2">
      <c r="A330" s="1" t="s">
        <v>272</v>
      </c>
    </row>
    <row r="331" spans="1:8" x14ac:dyDescent="0.2">
      <c r="A331" s="1" t="s">
        <v>273</v>
      </c>
      <c r="F331" s="1" t="s">
        <v>292</v>
      </c>
    </row>
    <row r="332" spans="1:8" x14ac:dyDescent="0.2">
      <c r="A332" s="1" t="s">
        <v>274</v>
      </c>
    </row>
    <row r="333" spans="1:8" x14ac:dyDescent="0.2">
      <c r="A333" s="1" t="s">
        <v>275</v>
      </c>
    </row>
    <row r="334" spans="1:8" x14ac:dyDescent="0.2">
      <c r="A334" s="1" t="s">
        <v>276</v>
      </c>
    </row>
    <row r="336" spans="1:8" x14ac:dyDescent="0.2">
      <c r="A336" s="1" t="s">
        <v>285</v>
      </c>
    </row>
    <row r="337" spans="1:8" x14ac:dyDescent="0.2">
      <c r="A337" s="1" t="s">
        <v>286</v>
      </c>
    </row>
    <row r="339" spans="1:8" x14ac:dyDescent="0.2">
      <c r="A339" s="1" t="s">
        <v>287</v>
      </c>
    </row>
    <row r="340" spans="1:8" x14ac:dyDescent="0.2">
      <c r="A340" s="1" t="s">
        <v>289</v>
      </c>
    </row>
    <row r="341" spans="1:8" x14ac:dyDescent="0.2">
      <c r="A341" s="1" t="s">
        <v>288</v>
      </c>
    </row>
    <row r="342" spans="1:8" x14ac:dyDescent="0.2">
      <c r="A342" s="1" t="s">
        <v>290</v>
      </c>
    </row>
    <row r="343" spans="1:8" x14ac:dyDescent="0.2">
      <c r="A343" s="1" t="s">
        <v>291</v>
      </c>
    </row>
    <row r="344" spans="1:8" ht="17" thickBot="1" x14ac:dyDescent="0.25"/>
    <row r="345" spans="1:8" ht="17" thickBot="1" x14ac:dyDescent="0.25">
      <c r="A345" s="15" t="s">
        <v>1151</v>
      </c>
      <c r="B345" s="16"/>
      <c r="C345" s="16"/>
      <c r="D345" s="16"/>
      <c r="E345" s="16"/>
      <c r="F345" s="16"/>
      <c r="G345" s="16"/>
      <c r="H345" s="17"/>
    </row>
    <row r="346" spans="1:8" x14ac:dyDescent="0.2">
      <c r="A346" s="48" t="s">
        <v>270</v>
      </c>
    </row>
    <row r="347" spans="1:8" x14ac:dyDescent="0.2">
      <c r="A347" s="48" t="s">
        <v>293</v>
      </c>
    </row>
    <row r="349" spans="1:8" x14ac:dyDescent="0.2">
      <c r="A349" s="1" t="s">
        <v>294</v>
      </c>
      <c r="C349" s="21">
        <v>3.8</v>
      </c>
      <c r="D349" s="21" t="s">
        <v>295</v>
      </c>
    </row>
    <row r="350" spans="1:8" x14ac:dyDescent="0.2">
      <c r="A350" s="1" t="s">
        <v>294</v>
      </c>
      <c r="C350" s="21">
        <v>3.7</v>
      </c>
      <c r="D350" s="21" t="s">
        <v>296</v>
      </c>
    </row>
    <row r="351" spans="1:8" x14ac:dyDescent="0.2">
      <c r="A351" s="1" t="s">
        <v>297</v>
      </c>
      <c r="C351" s="21" t="s">
        <v>298</v>
      </c>
    </row>
    <row r="352" spans="1:8" x14ac:dyDescent="0.2">
      <c r="A352" s="1" t="s">
        <v>299</v>
      </c>
      <c r="C352" s="21" t="s">
        <v>303</v>
      </c>
    </row>
    <row r="353" spans="1:4" x14ac:dyDescent="0.2">
      <c r="A353" s="1" t="s">
        <v>300</v>
      </c>
      <c r="C353" s="21">
        <v>0.1</v>
      </c>
      <c r="D353" s="21" t="s">
        <v>304</v>
      </c>
    </row>
    <row r="354" spans="1:4" x14ac:dyDescent="0.2">
      <c r="A354" s="1" t="s">
        <v>301</v>
      </c>
      <c r="C354" s="49">
        <v>10000</v>
      </c>
    </row>
    <row r="355" spans="1:4" x14ac:dyDescent="0.2">
      <c r="A355" s="1" t="s">
        <v>306</v>
      </c>
      <c r="C355" s="49">
        <f>C354*C353</f>
        <v>1000</v>
      </c>
      <c r="D355" s="1" t="s">
        <v>305</v>
      </c>
    </row>
    <row r="356" spans="1:4" x14ac:dyDescent="0.2">
      <c r="A356" s="1" t="s">
        <v>302</v>
      </c>
      <c r="C356" s="49">
        <v>-500</v>
      </c>
      <c r="D356" s="1" t="s">
        <v>307</v>
      </c>
    </row>
  </sheetData>
  <mergeCells count="2">
    <mergeCell ref="B274:C274"/>
    <mergeCell ref="D274:E274"/>
  </mergeCells>
  <pageMargins left="0.7" right="0.7" top="0.75" bottom="0.75" header="0.3" footer="0.3"/>
  <pageSetup paperSize="9" scale="84" orientation="portrait" horizontalDpi="0" verticalDpi="0"/>
  <rowBreaks count="1" manualBreakCount="1">
    <brk id="268" max="16383" man="1"/>
  </rowBreaks>
  <colBreaks count="1" manualBreakCount="1">
    <brk id="9" max="1048575" man="1"/>
  </colBreak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0ACC83-4C5F-1849-A2E9-CA65EC9BD24D}">
  <dimension ref="A1:P557"/>
  <sheetViews>
    <sheetView rightToLeft="1" topLeftCell="A106" zoomScale="150" zoomScaleNormal="125" zoomScaleSheetLayoutView="207" workbookViewId="0">
      <selection activeCell="A177" sqref="A177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442</v>
      </c>
      <c r="B1" s="2"/>
      <c r="C1" s="2"/>
      <c r="D1" s="2"/>
      <c r="E1" s="2"/>
      <c r="F1" s="2"/>
      <c r="G1" s="2"/>
      <c r="H1" s="3">
        <v>45280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x14ac:dyDescent="0.2">
      <c r="A6" s="64" t="s">
        <v>346</v>
      </c>
      <c r="H6" s="42"/>
    </row>
    <row r="7" spans="1:8" x14ac:dyDescent="0.2">
      <c r="A7" s="64" t="s">
        <v>347</v>
      </c>
      <c r="H7" s="42"/>
    </row>
    <row r="8" spans="1:8" x14ac:dyDescent="0.2">
      <c r="A8" s="64" t="s">
        <v>348</v>
      </c>
      <c r="E8" s="68"/>
      <c r="H8" s="42"/>
    </row>
    <row r="9" spans="1:8" x14ac:dyDescent="0.2">
      <c r="A9" s="64" t="s">
        <v>349</v>
      </c>
      <c r="E9" s="68"/>
      <c r="H9" s="42"/>
    </row>
    <row r="10" spans="1:8" x14ac:dyDescent="0.2">
      <c r="A10" s="64" t="s">
        <v>350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8" x14ac:dyDescent="0.2">
      <c r="A33" s="64" t="s">
        <v>379</v>
      </c>
      <c r="H33" s="42"/>
    </row>
    <row r="34" spans="1:8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8" ht="17" thickBot="1" x14ac:dyDescent="0.25"/>
    <row r="36" spans="1:8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8" x14ac:dyDescent="0.2">
      <c r="A37" s="64"/>
      <c r="H37" s="42"/>
    </row>
    <row r="38" spans="1:8" x14ac:dyDescent="0.2">
      <c r="A38" s="64" t="s">
        <v>381</v>
      </c>
      <c r="B38" s="1" t="s">
        <v>1263</v>
      </c>
      <c r="H38" s="42"/>
    </row>
    <row r="39" spans="1:8" x14ac:dyDescent="0.2">
      <c r="A39" s="64"/>
      <c r="B39" s="1" t="s">
        <v>382</v>
      </c>
      <c r="H39" s="42"/>
    </row>
    <row r="40" spans="1:8" x14ac:dyDescent="0.2">
      <c r="A40" s="64"/>
      <c r="H40" s="42"/>
    </row>
    <row r="41" spans="1:8" x14ac:dyDescent="0.2">
      <c r="A41" s="64" t="s">
        <v>383</v>
      </c>
      <c r="B41" s="1" t="s">
        <v>384</v>
      </c>
      <c r="H41" s="42"/>
    </row>
    <row r="42" spans="1:8" x14ac:dyDescent="0.2">
      <c r="A42" s="64"/>
      <c r="B42" s="1" t="s">
        <v>1264</v>
      </c>
      <c r="H42" s="42"/>
    </row>
    <row r="43" spans="1:8" x14ac:dyDescent="0.2">
      <c r="A43" s="64"/>
      <c r="H43" s="42"/>
    </row>
    <row r="44" spans="1:8" x14ac:dyDescent="0.2">
      <c r="A44" s="64" t="s">
        <v>385</v>
      </c>
      <c r="B44" s="1" t="s">
        <v>388</v>
      </c>
      <c r="H44" s="42"/>
    </row>
    <row r="45" spans="1:8" x14ac:dyDescent="0.2">
      <c r="A45" s="64"/>
      <c r="H45" s="42"/>
    </row>
    <row r="46" spans="1:8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8" ht="17" thickBot="1" x14ac:dyDescent="0.25"/>
    <row r="48" spans="1:8" ht="17" thickBot="1" x14ac:dyDescent="0.25">
      <c r="A48" s="50" t="s">
        <v>1256</v>
      </c>
      <c r="B48" s="51"/>
      <c r="C48" s="51"/>
      <c r="D48" s="51"/>
      <c r="E48" s="51"/>
      <c r="F48" s="51"/>
      <c r="G48" s="51"/>
      <c r="H48" s="52"/>
    </row>
    <row r="50" spans="1:14" x14ac:dyDescent="0.2">
      <c r="A50" s="62" t="s">
        <v>1265</v>
      </c>
    </row>
    <row r="51" spans="1:14" x14ac:dyDescent="0.2">
      <c r="A51" s="62" t="s">
        <v>394</v>
      </c>
    </row>
    <row r="52" spans="1:14" x14ac:dyDescent="0.2">
      <c r="A52" s="62" t="s">
        <v>413</v>
      </c>
    </row>
    <row r="54" spans="1:14" x14ac:dyDescent="0.2">
      <c r="B54" s="21" t="s">
        <v>389</v>
      </c>
      <c r="C54" s="171" t="s">
        <v>1266</v>
      </c>
    </row>
    <row r="55" spans="1:14" x14ac:dyDescent="0.2">
      <c r="B55" s="60" t="s">
        <v>390</v>
      </c>
      <c r="C55" s="60">
        <v>20</v>
      </c>
    </row>
    <row r="56" spans="1:14" x14ac:dyDescent="0.2">
      <c r="B56" s="21" t="s">
        <v>391</v>
      </c>
      <c r="C56" s="21">
        <v>10</v>
      </c>
    </row>
    <row r="57" spans="1:14" x14ac:dyDescent="0.2">
      <c r="B57" s="60" t="s">
        <v>392</v>
      </c>
      <c r="C57" s="60">
        <v>15</v>
      </c>
    </row>
    <row r="58" spans="1:14" x14ac:dyDescent="0.2">
      <c r="B58" s="21" t="s">
        <v>393</v>
      </c>
      <c r="C58" s="21">
        <v>24</v>
      </c>
    </row>
    <row r="60" spans="1:14" x14ac:dyDescent="0.2">
      <c r="A60" s="62" t="s">
        <v>403</v>
      </c>
    </row>
    <row r="61" spans="1:14" x14ac:dyDescent="0.2">
      <c r="A61" s="62" t="s">
        <v>1269</v>
      </c>
    </row>
    <row r="62" spans="1:14" x14ac:dyDescent="0.2">
      <c r="A62" s="62" t="s">
        <v>405</v>
      </c>
      <c r="I62" s="182" t="s">
        <v>1285</v>
      </c>
    </row>
    <row r="63" spans="1:14" ht="17" thickBot="1" x14ac:dyDescent="0.25">
      <c r="I63" s="182" t="s">
        <v>1284</v>
      </c>
    </row>
    <row r="64" spans="1:14" x14ac:dyDescent="0.2">
      <c r="A64" s="63" t="s">
        <v>78</v>
      </c>
      <c r="B64" s="39"/>
      <c r="C64" s="39"/>
      <c r="D64" s="39"/>
      <c r="E64" s="39"/>
      <c r="F64" s="39"/>
      <c r="G64" s="39"/>
      <c r="H64" s="40"/>
      <c r="N64" s="183" t="s">
        <v>239</v>
      </c>
    </row>
    <row r="65" spans="1:14" s="25" customFormat="1" x14ac:dyDescent="0.2">
      <c r="A65" s="78"/>
      <c r="H65" s="27"/>
      <c r="I65" s="147" t="s">
        <v>1288</v>
      </c>
      <c r="N65" s="163" t="s">
        <v>280</v>
      </c>
    </row>
    <row r="66" spans="1:14" s="25" customFormat="1" x14ac:dyDescent="0.2">
      <c r="A66" s="78" t="s">
        <v>440</v>
      </c>
      <c r="H66" s="27"/>
      <c r="I66" s="147" t="s">
        <v>363</v>
      </c>
    </row>
    <row r="67" spans="1:14" s="25" customFormat="1" x14ac:dyDescent="0.2">
      <c r="A67" s="78" t="s">
        <v>396</v>
      </c>
      <c r="H67" s="27"/>
    </row>
    <row r="68" spans="1:14" s="25" customFormat="1" ht="17" thickBot="1" x14ac:dyDescent="0.25">
      <c r="A68" s="78" t="s">
        <v>397</v>
      </c>
      <c r="H68" s="27"/>
    </row>
    <row r="69" spans="1:14" s="25" customFormat="1" x14ac:dyDescent="0.2">
      <c r="A69" s="78" t="s">
        <v>212</v>
      </c>
      <c r="B69" s="32" t="s">
        <v>1267</v>
      </c>
      <c r="C69" s="32" t="s">
        <v>1270</v>
      </c>
      <c r="D69" s="131" t="s">
        <v>1268</v>
      </c>
      <c r="E69" s="172" t="s">
        <v>1271</v>
      </c>
      <c r="F69" s="93" t="s">
        <v>1272</v>
      </c>
      <c r="H69" s="27"/>
    </row>
    <row r="70" spans="1:14" s="25" customFormat="1" x14ac:dyDescent="0.2">
      <c r="A70" s="80" t="s">
        <v>71</v>
      </c>
      <c r="B70" s="81" t="s">
        <v>398</v>
      </c>
      <c r="C70" s="81" t="s">
        <v>399</v>
      </c>
      <c r="D70" s="106" t="s">
        <v>400</v>
      </c>
      <c r="E70" s="173" t="s">
        <v>401</v>
      </c>
      <c r="F70" s="177" t="s">
        <v>402</v>
      </c>
      <c r="H70" s="27"/>
      <c r="I70" s="25" t="s">
        <v>1286</v>
      </c>
      <c r="N70" s="184">
        <v>50</v>
      </c>
    </row>
    <row r="71" spans="1:14" s="25" customFormat="1" ht="17" thickBot="1" x14ac:dyDescent="0.25">
      <c r="A71" s="181">
        <v>0</v>
      </c>
      <c r="B71" s="32">
        <v>0</v>
      </c>
      <c r="C71" s="32">
        <f>50-0</f>
        <v>50</v>
      </c>
      <c r="D71" s="47">
        <f t="shared" ref="D71:D76" si="0">-20</f>
        <v>-20</v>
      </c>
      <c r="E71" s="174">
        <f>50-15</f>
        <v>35</v>
      </c>
      <c r="F71" s="178">
        <f>-20+35</f>
        <v>15</v>
      </c>
      <c r="H71" s="27"/>
      <c r="I71" s="25" t="s">
        <v>1287</v>
      </c>
    </row>
    <row r="72" spans="1:14" s="25" customFormat="1" x14ac:dyDescent="0.2">
      <c r="A72" s="188">
        <f t="shared" ref="A72:A81" si="1">A71+10</f>
        <v>10</v>
      </c>
      <c r="B72" s="32">
        <v>0</v>
      </c>
      <c r="C72" s="32">
        <f>50-10</f>
        <v>40</v>
      </c>
      <c r="D72" s="47">
        <f t="shared" si="0"/>
        <v>-20</v>
      </c>
      <c r="E72" s="174">
        <f>40-15</f>
        <v>25</v>
      </c>
      <c r="F72" s="186">
        <f>-20+25</f>
        <v>5</v>
      </c>
      <c r="H72" s="27"/>
    </row>
    <row r="73" spans="1:14" ht="17" thickBot="1" x14ac:dyDescent="0.25">
      <c r="A73" s="189">
        <f t="shared" si="1"/>
        <v>20</v>
      </c>
      <c r="B73" s="32">
        <v>0</v>
      </c>
      <c r="C73" s="32">
        <f>50-20</f>
        <v>30</v>
      </c>
      <c r="D73" s="47">
        <f t="shared" si="0"/>
        <v>-20</v>
      </c>
      <c r="E73" s="174">
        <f>30-15</f>
        <v>15</v>
      </c>
      <c r="F73" s="187">
        <f>-20+15</f>
        <v>-5</v>
      </c>
      <c r="G73" s="73"/>
      <c r="H73" s="74"/>
    </row>
    <row r="74" spans="1:14" x14ac:dyDescent="0.2">
      <c r="A74" s="185">
        <f t="shared" si="1"/>
        <v>30</v>
      </c>
      <c r="B74" s="32">
        <v>0</v>
      </c>
      <c r="C74" s="32">
        <f>50-30</f>
        <v>20</v>
      </c>
      <c r="D74" s="47">
        <f t="shared" si="0"/>
        <v>-20</v>
      </c>
      <c r="E74" s="174">
        <f t="shared" ref="E74:E81" si="2">C74-15</f>
        <v>5</v>
      </c>
      <c r="F74" s="180">
        <f t="shared" ref="F74:F81" si="3">D74+E74</f>
        <v>-15</v>
      </c>
      <c r="G74" s="73"/>
      <c r="H74" s="74"/>
    </row>
    <row r="75" spans="1:14" x14ac:dyDescent="0.2">
      <c r="A75" s="185">
        <f t="shared" si="1"/>
        <v>40</v>
      </c>
      <c r="B75" s="32">
        <v>0</v>
      </c>
      <c r="C75" s="32">
        <f>50-40</f>
        <v>10</v>
      </c>
      <c r="D75" s="47">
        <f t="shared" si="0"/>
        <v>-20</v>
      </c>
      <c r="E75" s="174">
        <f t="shared" si="2"/>
        <v>-5</v>
      </c>
      <c r="F75" s="180">
        <f t="shared" si="3"/>
        <v>-25</v>
      </c>
      <c r="G75" s="73"/>
      <c r="H75" s="74"/>
    </row>
    <row r="76" spans="1:14" x14ac:dyDescent="0.2">
      <c r="A76" s="185">
        <f t="shared" si="1"/>
        <v>50</v>
      </c>
      <c r="B76" s="32">
        <v>0</v>
      </c>
      <c r="C76" s="32">
        <v>0</v>
      </c>
      <c r="D76" s="47">
        <f t="shared" si="0"/>
        <v>-20</v>
      </c>
      <c r="E76" s="174">
        <f t="shared" si="2"/>
        <v>-15</v>
      </c>
      <c r="F76" s="180">
        <f t="shared" si="3"/>
        <v>-35</v>
      </c>
      <c r="G76" s="73"/>
      <c r="H76" s="74"/>
      <c r="I76" s="1" t="s">
        <v>1282</v>
      </c>
      <c r="M76" s="25"/>
      <c r="N76" s="25"/>
    </row>
    <row r="77" spans="1:14" x14ac:dyDescent="0.2">
      <c r="A77" s="185">
        <f t="shared" si="1"/>
        <v>60</v>
      </c>
      <c r="B77" s="32">
        <f>60-50</f>
        <v>10</v>
      </c>
      <c r="C77" s="32">
        <v>0</v>
      </c>
      <c r="D77" s="47">
        <f>B77-20</f>
        <v>-10</v>
      </c>
      <c r="E77" s="174">
        <f t="shared" si="2"/>
        <v>-15</v>
      </c>
      <c r="F77" s="180">
        <f t="shared" si="3"/>
        <v>-25</v>
      </c>
      <c r="G77" s="73"/>
      <c r="H77" s="74"/>
      <c r="I77" s="1" t="s">
        <v>1283</v>
      </c>
      <c r="M77" s="25"/>
      <c r="N77" s="32">
        <v>0</v>
      </c>
    </row>
    <row r="78" spans="1:14" ht="17" thickBot="1" x14ac:dyDescent="0.25">
      <c r="A78" s="185">
        <f t="shared" si="1"/>
        <v>70</v>
      </c>
      <c r="B78" s="32">
        <f>70-50</f>
        <v>20</v>
      </c>
      <c r="C78" s="32">
        <v>0</v>
      </c>
      <c r="D78" s="47">
        <f>B78-20</f>
        <v>0</v>
      </c>
      <c r="E78" s="174">
        <f t="shared" si="2"/>
        <v>-15</v>
      </c>
      <c r="F78" s="180">
        <f t="shared" si="3"/>
        <v>-15</v>
      </c>
      <c r="G78" s="73"/>
      <c r="H78" s="74"/>
      <c r="K78" s="25">
        <v>85</v>
      </c>
      <c r="L78" s="193">
        <v>50</v>
      </c>
      <c r="M78" s="25"/>
      <c r="N78" s="25">
        <v>15</v>
      </c>
    </row>
    <row r="79" spans="1:14" x14ac:dyDescent="0.2">
      <c r="A79" s="191">
        <f t="shared" si="1"/>
        <v>80</v>
      </c>
      <c r="B79" s="32">
        <f>80-50</f>
        <v>30</v>
      </c>
      <c r="C79" s="32">
        <v>0</v>
      </c>
      <c r="D79" s="47">
        <f>B79-20</f>
        <v>10</v>
      </c>
      <c r="E79" s="174">
        <f t="shared" si="2"/>
        <v>-15</v>
      </c>
      <c r="F79" s="190">
        <f t="shared" si="3"/>
        <v>-5</v>
      </c>
      <c r="G79" s="73"/>
      <c r="H79" s="74"/>
      <c r="M79" s="25"/>
      <c r="N79" s="25"/>
    </row>
    <row r="80" spans="1:14" ht="17" thickBot="1" x14ac:dyDescent="0.25">
      <c r="A80" s="192">
        <f t="shared" si="1"/>
        <v>90</v>
      </c>
      <c r="B80" s="32">
        <f>90-50</f>
        <v>40</v>
      </c>
      <c r="C80" s="32">
        <v>0</v>
      </c>
      <c r="D80" s="47">
        <f>B80-20</f>
        <v>20</v>
      </c>
      <c r="E80" s="174">
        <f t="shared" si="2"/>
        <v>-15</v>
      </c>
      <c r="F80" s="179">
        <f t="shared" si="3"/>
        <v>5</v>
      </c>
      <c r="G80" s="73"/>
      <c r="H80" s="74"/>
    </row>
    <row r="81" spans="1:9" ht="17" thickBot="1" x14ac:dyDescent="0.25">
      <c r="A81" s="181">
        <f t="shared" si="1"/>
        <v>100</v>
      </c>
      <c r="B81" s="32">
        <f>100-50</f>
        <v>50</v>
      </c>
      <c r="C81" s="32">
        <v>0</v>
      </c>
      <c r="D81" s="175">
        <f>B81-20</f>
        <v>30</v>
      </c>
      <c r="E81" s="176">
        <f t="shared" si="2"/>
        <v>-15</v>
      </c>
      <c r="F81" s="179">
        <f t="shared" si="3"/>
        <v>15</v>
      </c>
      <c r="G81" s="73"/>
      <c r="H81" s="74"/>
    </row>
    <row r="82" spans="1:9" x14ac:dyDescent="0.2">
      <c r="A82" s="64"/>
      <c r="H82" s="42"/>
    </row>
    <row r="83" spans="1:9" x14ac:dyDescent="0.2">
      <c r="A83" s="64" t="s">
        <v>1273</v>
      </c>
      <c r="H83" s="42"/>
    </row>
    <row r="84" spans="1:9" x14ac:dyDescent="0.2">
      <c r="A84" s="64" t="s">
        <v>1274</v>
      </c>
      <c r="H84" s="42"/>
    </row>
    <row r="85" spans="1:9" x14ac:dyDescent="0.2">
      <c r="A85" s="64" t="s">
        <v>1281</v>
      </c>
      <c r="H85" s="42"/>
    </row>
    <row r="86" spans="1:9" x14ac:dyDescent="0.2">
      <c r="A86" s="64" t="s">
        <v>1275</v>
      </c>
      <c r="H86" s="42"/>
    </row>
    <row r="87" spans="1:9" x14ac:dyDescent="0.2">
      <c r="A87" s="64" t="s">
        <v>1276</v>
      </c>
      <c r="H87" s="42"/>
      <c r="I87" s="1" t="s">
        <v>1289</v>
      </c>
    </row>
    <row r="88" spans="1:9" x14ac:dyDescent="0.2">
      <c r="A88" s="64" t="s">
        <v>1277</v>
      </c>
      <c r="H88" s="42"/>
      <c r="I88" s="1" t="s">
        <v>1290</v>
      </c>
    </row>
    <row r="89" spans="1:9" x14ac:dyDescent="0.2">
      <c r="A89" s="64" t="s">
        <v>1278</v>
      </c>
      <c r="H89" s="42"/>
      <c r="I89" s="1" t="s">
        <v>1291</v>
      </c>
    </row>
    <row r="90" spans="1:9" x14ac:dyDescent="0.2">
      <c r="A90" s="64" t="s">
        <v>1279</v>
      </c>
      <c r="H90" s="42"/>
      <c r="I90" s="1" t="s">
        <v>1292</v>
      </c>
    </row>
    <row r="91" spans="1:9" x14ac:dyDescent="0.2">
      <c r="A91" s="64" t="s">
        <v>1280</v>
      </c>
      <c r="H91" s="42"/>
    </row>
    <row r="92" spans="1:9" x14ac:dyDescent="0.2">
      <c r="A92" s="64"/>
      <c r="H92" s="42"/>
    </row>
    <row r="93" spans="1:9" x14ac:dyDescent="0.2">
      <c r="A93" s="64"/>
      <c r="H93" s="42"/>
      <c r="I93" s="1" t="s">
        <v>1293</v>
      </c>
    </row>
    <row r="94" spans="1:9" x14ac:dyDescent="0.2">
      <c r="A94" s="64"/>
      <c r="H94" s="42"/>
      <c r="I94" s="1" t="s">
        <v>1294</v>
      </c>
    </row>
    <row r="95" spans="1:9" x14ac:dyDescent="0.2">
      <c r="A95" s="64"/>
      <c r="H95" s="42"/>
      <c r="I95" s="1" t="s">
        <v>1295</v>
      </c>
    </row>
    <row r="96" spans="1:9" x14ac:dyDescent="0.2">
      <c r="A96" s="64"/>
      <c r="H96" s="42"/>
      <c r="I96" s="1" t="s">
        <v>1296</v>
      </c>
    </row>
    <row r="97" spans="1:9" x14ac:dyDescent="0.2">
      <c r="A97" s="64"/>
      <c r="H97" s="42"/>
      <c r="I97" s="1" t="s">
        <v>1297</v>
      </c>
    </row>
    <row r="98" spans="1:9" ht="17" thickBot="1" x14ac:dyDescent="0.25">
      <c r="A98" s="65"/>
      <c r="B98" s="44"/>
      <c r="C98" s="44"/>
      <c r="D98" s="44"/>
      <c r="E98" s="44"/>
      <c r="F98" s="44"/>
      <c r="G98" s="44"/>
      <c r="H98" s="45"/>
      <c r="I98" s="1" t="s">
        <v>1298</v>
      </c>
    </row>
    <row r="99" spans="1:9" x14ac:dyDescent="0.2">
      <c r="I99" s="1" t="s">
        <v>1299</v>
      </c>
    </row>
    <row r="101" spans="1:9" x14ac:dyDescent="0.2">
      <c r="I101" s="1" t="s">
        <v>1300</v>
      </c>
    </row>
    <row r="102" spans="1:9" x14ac:dyDescent="0.2">
      <c r="I102" s="1" t="s">
        <v>1301</v>
      </c>
    </row>
    <row r="103" spans="1:9" x14ac:dyDescent="0.2">
      <c r="I103" s="1" t="s">
        <v>1302</v>
      </c>
    </row>
    <row r="104" spans="1:9" x14ac:dyDescent="0.2">
      <c r="I104" s="1" t="s">
        <v>1303</v>
      </c>
    </row>
    <row r="106" spans="1:9" ht="17" thickBot="1" x14ac:dyDescent="0.25"/>
    <row r="107" spans="1:9" ht="17" thickBot="1" x14ac:dyDescent="0.25">
      <c r="A107" s="50" t="s">
        <v>1369</v>
      </c>
      <c r="B107" s="51"/>
      <c r="C107" s="51"/>
      <c r="D107" s="51"/>
      <c r="E107" s="51"/>
      <c r="F107" s="51"/>
      <c r="G107" s="51"/>
      <c r="H107" s="52"/>
    </row>
    <row r="109" spans="1:9" x14ac:dyDescent="0.2">
      <c r="A109" s="62" t="s">
        <v>1304</v>
      </c>
    </row>
    <row r="110" spans="1:9" x14ac:dyDescent="0.2">
      <c r="A110" s="62" t="s">
        <v>394</v>
      </c>
    </row>
    <row r="111" spans="1:9" x14ac:dyDescent="0.2">
      <c r="A111" s="62" t="s">
        <v>413</v>
      </c>
    </row>
    <row r="113" spans="1:9" x14ac:dyDescent="0.2">
      <c r="B113" s="21" t="s">
        <v>389</v>
      </c>
      <c r="C113" s="48" t="s">
        <v>1266</v>
      </c>
    </row>
    <row r="114" spans="1:9" x14ac:dyDescent="0.2">
      <c r="B114" s="21" t="s">
        <v>1307</v>
      </c>
      <c r="C114" s="21">
        <v>10</v>
      </c>
    </row>
    <row r="115" spans="1:9" x14ac:dyDescent="0.2">
      <c r="B115" s="21" t="s">
        <v>407</v>
      </c>
      <c r="C115" s="21">
        <v>2</v>
      </c>
    </row>
    <row r="116" spans="1:9" x14ac:dyDescent="0.2">
      <c r="B116" s="21" t="s">
        <v>391</v>
      </c>
      <c r="C116" s="21">
        <v>1</v>
      </c>
    </row>
    <row r="117" spans="1:9" x14ac:dyDescent="0.2">
      <c r="B117" s="21" t="s">
        <v>1308</v>
      </c>
      <c r="C117" s="21">
        <v>15</v>
      </c>
    </row>
    <row r="119" spans="1:9" x14ac:dyDescent="0.2">
      <c r="A119" s="62" t="s">
        <v>403</v>
      </c>
    </row>
    <row r="120" spans="1:9" x14ac:dyDescent="0.2">
      <c r="A120" s="62" t="s">
        <v>1342</v>
      </c>
    </row>
    <row r="121" spans="1:9" x14ac:dyDescent="0.2">
      <c r="A121" s="62" t="s">
        <v>1343</v>
      </c>
    </row>
    <row r="122" spans="1:9" ht="17" thickBot="1" x14ac:dyDescent="0.25"/>
    <row r="123" spans="1:9" s="25" customFormat="1" x14ac:dyDescent="0.2">
      <c r="A123" s="84" t="s">
        <v>78</v>
      </c>
      <c r="B123" s="23"/>
      <c r="C123" s="23"/>
      <c r="D123" s="23"/>
      <c r="E123" s="23"/>
      <c r="F123" s="23"/>
      <c r="G123" s="23"/>
      <c r="H123" s="24"/>
    </row>
    <row r="124" spans="1:9" s="25" customFormat="1" x14ac:dyDescent="0.2">
      <c r="A124" s="194"/>
      <c r="H124" s="27"/>
    </row>
    <row r="125" spans="1:9" s="25" customFormat="1" x14ac:dyDescent="0.2">
      <c r="A125" s="194" t="s">
        <v>1305</v>
      </c>
      <c r="H125" s="27"/>
    </row>
    <row r="126" spans="1:9" s="25" customFormat="1" ht="17" thickBot="1" x14ac:dyDescent="0.25">
      <c r="A126" s="194"/>
      <c r="C126" s="155" t="s">
        <v>1306</v>
      </c>
      <c r="H126" s="27"/>
    </row>
    <row r="127" spans="1:9" s="25" customFormat="1" x14ac:dyDescent="0.2">
      <c r="A127" s="194"/>
      <c r="B127" s="32" t="s">
        <v>740</v>
      </c>
      <c r="C127" s="32" t="s">
        <v>1326</v>
      </c>
      <c r="D127" s="131" t="s">
        <v>1319</v>
      </c>
      <c r="E127" s="172" t="s">
        <v>1319</v>
      </c>
      <c r="H127" s="27"/>
      <c r="I127" s="32" t="s">
        <v>740</v>
      </c>
    </row>
    <row r="128" spans="1:9" s="25" customFormat="1" x14ac:dyDescent="0.2">
      <c r="A128" s="194"/>
      <c r="B128" s="32" t="s">
        <v>1309</v>
      </c>
      <c r="C128" s="32" t="s">
        <v>1327</v>
      </c>
      <c r="D128" s="47" t="s">
        <v>213</v>
      </c>
      <c r="E128" s="174" t="s">
        <v>213</v>
      </c>
      <c r="H128" s="27"/>
      <c r="I128" s="25" t="s">
        <v>1315</v>
      </c>
    </row>
    <row r="129" spans="1:14" s="25" customFormat="1" x14ac:dyDescent="0.2">
      <c r="A129" s="194"/>
      <c r="B129" s="32" t="s">
        <v>406</v>
      </c>
      <c r="C129" s="32" t="s">
        <v>408</v>
      </c>
      <c r="D129" s="47" t="s">
        <v>1320</v>
      </c>
      <c r="E129" s="174" t="s">
        <v>1338</v>
      </c>
      <c r="F129" s="203" t="s">
        <v>1344</v>
      </c>
      <c r="H129" s="27"/>
      <c r="I129" s="25" t="s">
        <v>1312</v>
      </c>
    </row>
    <row r="130" spans="1:14" s="25" customFormat="1" x14ac:dyDescent="0.2">
      <c r="A130" s="194"/>
      <c r="B130" s="32">
        <v>0</v>
      </c>
      <c r="C130" s="32" t="s">
        <v>198</v>
      </c>
      <c r="D130" s="47" t="s">
        <v>1321</v>
      </c>
      <c r="E130" s="174" t="s">
        <v>1321</v>
      </c>
      <c r="F130" s="203" t="s">
        <v>1345</v>
      </c>
      <c r="H130" s="27"/>
      <c r="I130" s="25" t="s">
        <v>1316</v>
      </c>
    </row>
    <row r="131" spans="1:14" s="25" customFormat="1" x14ac:dyDescent="0.2">
      <c r="A131" s="204" t="s">
        <v>1346</v>
      </c>
      <c r="B131" s="32" t="s">
        <v>1314</v>
      </c>
      <c r="C131" s="32" t="s">
        <v>1310</v>
      </c>
      <c r="D131" s="47" t="s">
        <v>1322</v>
      </c>
      <c r="E131" s="174" t="s">
        <v>1322</v>
      </c>
      <c r="F131" s="197" t="s">
        <v>213</v>
      </c>
      <c r="H131" s="27"/>
      <c r="I131" s="25" t="s">
        <v>1317</v>
      </c>
    </row>
    <row r="132" spans="1:14" s="25" customFormat="1" x14ac:dyDescent="0.2">
      <c r="A132" s="204" t="s">
        <v>1347</v>
      </c>
      <c r="B132" s="32" t="s">
        <v>1311</v>
      </c>
      <c r="C132" s="32" t="s">
        <v>1337</v>
      </c>
      <c r="D132" s="47" t="s">
        <v>1323</v>
      </c>
      <c r="E132" s="174" t="s">
        <v>1323</v>
      </c>
      <c r="F132" s="197" t="s">
        <v>1340</v>
      </c>
      <c r="H132" s="27"/>
      <c r="I132" s="25" t="s">
        <v>1313</v>
      </c>
      <c r="N132" s="32" t="s">
        <v>144</v>
      </c>
    </row>
    <row r="133" spans="1:14" s="25" customFormat="1" x14ac:dyDescent="0.2">
      <c r="A133" s="204" t="s">
        <v>1345</v>
      </c>
      <c r="B133" s="32" t="s">
        <v>144</v>
      </c>
      <c r="C133" s="32">
        <v>0</v>
      </c>
      <c r="D133" s="47" t="s">
        <v>1324</v>
      </c>
      <c r="E133" s="174" t="s">
        <v>1324</v>
      </c>
      <c r="F133" s="32" t="s">
        <v>1341</v>
      </c>
      <c r="H133" s="27"/>
    </row>
    <row r="134" spans="1:14" s="25" customFormat="1" ht="17" thickBot="1" x14ac:dyDescent="0.25">
      <c r="A134" s="79" t="s">
        <v>71</v>
      </c>
      <c r="B134" s="85" t="s">
        <v>409</v>
      </c>
      <c r="C134" s="86" t="s">
        <v>410</v>
      </c>
      <c r="D134" s="198" t="s">
        <v>1318</v>
      </c>
      <c r="E134" s="199" t="s">
        <v>1339</v>
      </c>
      <c r="F134" s="202" t="s">
        <v>280</v>
      </c>
      <c r="H134" s="27"/>
      <c r="I134" s="32" t="s">
        <v>1319</v>
      </c>
    </row>
    <row r="135" spans="1:14" s="25" customFormat="1" ht="17" thickBot="1" x14ac:dyDescent="0.25">
      <c r="A135" s="205">
        <v>0</v>
      </c>
      <c r="B135" s="206">
        <v>0</v>
      </c>
      <c r="C135" s="207">
        <f>30-0</f>
        <v>30</v>
      </c>
      <c r="D135" s="208">
        <f t="shared" ref="D135:D145" si="4">B135-10</f>
        <v>-10</v>
      </c>
      <c r="E135" s="209">
        <f t="shared" ref="E135:E145" si="5">C135-15</f>
        <v>15</v>
      </c>
      <c r="F135" s="210">
        <f t="shared" ref="F135:F145" si="6">D135+E135</f>
        <v>5</v>
      </c>
      <c r="H135" s="27"/>
      <c r="I135" s="25" t="s">
        <v>1325</v>
      </c>
    </row>
    <row r="136" spans="1:14" s="25" customFormat="1" x14ac:dyDescent="0.2">
      <c r="A136" s="195">
        <f t="shared" ref="A136:A145" si="7">A135+10</f>
        <v>10</v>
      </c>
      <c r="B136" s="85">
        <v>0</v>
      </c>
      <c r="C136" s="86">
        <f>30-10</f>
        <v>20</v>
      </c>
      <c r="D136" s="198">
        <f t="shared" si="4"/>
        <v>-10</v>
      </c>
      <c r="E136" s="199">
        <f t="shared" si="5"/>
        <v>5</v>
      </c>
      <c r="F136" s="202">
        <f t="shared" si="6"/>
        <v>-5</v>
      </c>
      <c r="H136" s="27"/>
    </row>
    <row r="137" spans="1:14" s="25" customFormat="1" ht="17" thickBot="1" x14ac:dyDescent="0.25">
      <c r="A137" s="196">
        <f t="shared" si="7"/>
        <v>20</v>
      </c>
      <c r="B137" s="85">
        <v>0</v>
      </c>
      <c r="C137" s="86">
        <f>30-20</f>
        <v>10</v>
      </c>
      <c r="D137" s="198">
        <f t="shared" si="4"/>
        <v>-10</v>
      </c>
      <c r="E137" s="199">
        <f t="shared" si="5"/>
        <v>-5</v>
      </c>
      <c r="F137" s="202">
        <f t="shared" si="6"/>
        <v>-15</v>
      </c>
      <c r="H137" s="27"/>
      <c r="I137" s="32" t="s">
        <v>1326</v>
      </c>
    </row>
    <row r="138" spans="1:14" s="25" customFormat="1" ht="17" thickBot="1" x14ac:dyDescent="0.25">
      <c r="A138" s="211">
        <f t="shared" si="7"/>
        <v>30</v>
      </c>
      <c r="B138" s="206">
        <v>0</v>
      </c>
      <c r="C138" s="207">
        <v>0</v>
      </c>
      <c r="D138" s="208">
        <f t="shared" si="4"/>
        <v>-10</v>
      </c>
      <c r="E138" s="209">
        <f t="shared" si="5"/>
        <v>-15</v>
      </c>
      <c r="F138" s="210">
        <f t="shared" si="6"/>
        <v>-25</v>
      </c>
      <c r="H138" s="27"/>
      <c r="I138" s="25" t="s">
        <v>1328</v>
      </c>
    </row>
    <row r="139" spans="1:14" s="25" customFormat="1" x14ac:dyDescent="0.2">
      <c r="A139" s="79">
        <f t="shared" si="7"/>
        <v>40</v>
      </c>
      <c r="B139" s="85">
        <v>10</v>
      </c>
      <c r="C139" s="86">
        <v>0</v>
      </c>
      <c r="D139" s="198">
        <f t="shared" si="4"/>
        <v>0</v>
      </c>
      <c r="E139" s="199">
        <f t="shared" si="5"/>
        <v>-15</v>
      </c>
      <c r="F139" s="202">
        <f t="shared" si="6"/>
        <v>-15</v>
      </c>
      <c r="H139" s="27"/>
      <c r="I139" s="25" t="s">
        <v>1329</v>
      </c>
    </row>
    <row r="140" spans="1:14" s="25" customFormat="1" x14ac:dyDescent="0.2">
      <c r="A140" s="83">
        <f t="shared" si="7"/>
        <v>50</v>
      </c>
      <c r="B140" s="85">
        <v>20</v>
      </c>
      <c r="C140" s="86">
        <v>0</v>
      </c>
      <c r="D140" s="198">
        <f t="shared" si="4"/>
        <v>10</v>
      </c>
      <c r="E140" s="199">
        <f t="shared" si="5"/>
        <v>-15</v>
      </c>
      <c r="F140" s="202">
        <f t="shared" si="6"/>
        <v>-5</v>
      </c>
      <c r="H140" s="27"/>
      <c r="I140" s="25" t="s">
        <v>1330</v>
      </c>
      <c r="L140" s="25" t="s">
        <v>146</v>
      </c>
      <c r="M140" s="25" t="s">
        <v>1335</v>
      </c>
    </row>
    <row r="141" spans="1:14" s="25" customFormat="1" x14ac:dyDescent="0.2">
      <c r="A141" s="83">
        <f t="shared" si="7"/>
        <v>60</v>
      </c>
      <c r="B141" s="85">
        <v>30</v>
      </c>
      <c r="C141" s="86">
        <v>0</v>
      </c>
      <c r="D141" s="198">
        <f t="shared" si="4"/>
        <v>20</v>
      </c>
      <c r="E141" s="199">
        <f t="shared" si="5"/>
        <v>-15</v>
      </c>
      <c r="F141" s="202">
        <f t="shared" si="6"/>
        <v>5</v>
      </c>
      <c r="H141" s="27"/>
      <c r="L141" s="25" t="s">
        <v>1331</v>
      </c>
      <c r="M141" s="25" t="s">
        <v>1336</v>
      </c>
    </row>
    <row r="142" spans="1:14" s="25" customFormat="1" x14ac:dyDescent="0.2">
      <c r="A142" s="79">
        <f t="shared" si="7"/>
        <v>70</v>
      </c>
      <c r="B142" s="85">
        <v>40</v>
      </c>
      <c r="C142" s="86">
        <v>0</v>
      </c>
      <c r="D142" s="198">
        <f t="shared" si="4"/>
        <v>30</v>
      </c>
      <c r="E142" s="199">
        <f t="shared" si="5"/>
        <v>-15</v>
      </c>
      <c r="F142" s="202">
        <f t="shared" si="6"/>
        <v>15</v>
      </c>
      <c r="H142" s="27"/>
      <c r="I142" s="25" t="s">
        <v>1332</v>
      </c>
    </row>
    <row r="143" spans="1:14" s="25" customFormat="1" x14ac:dyDescent="0.2">
      <c r="A143" s="79">
        <f t="shared" si="7"/>
        <v>80</v>
      </c>
      <c r="B143" s="85">
        <v>50</v>
      </c>
      <c r="C143" s="86">
        <v>0</v>
      </c>
      <c r="D143" s="198">
        <f t="shared" si="4"/>
        <v>40</v>
      </c>
      <c r="E143" s="199">
        <f t="shared" si="5"/>
        <v>-15</v>
      </c>
      <c r="F143" s="202">
        <f t="shared" si="6"/>
        <v>25</v>
      </c>
      <c r="H143" s="27"/>
      <c r="L143" s="25" t="s">
        <v>1333</v>
      </c>
      <c r="M143" s="25" t="s">
        <v>1335</v>
      </c>
    </row>
    <row r="144" spans="1:14" s="25" customFormat="1" x14ac:dyDescent="0.2">
      <c r="A144" s="79">
        <f t="shared" si="7"/>
        <v>90</v>
      </c>
      <c r="B144" s="85">
        <v>60</v>
      </c>
      <c r="C144" s="86">
        <v>0</v>
      </c>
      <c r="D144" s="198">
        <f t="shared" si="4"/>
        <v>50</v>
      </c>
      <c r="E144" s="199">
        <f t="shared" si="5"/>
        <v>-15</v>
      </c>
      <c r="F144" s="202">
        <f t="shared" si="6"/>
        <v>35</v>
      </c>
      <c r="H144" s="27"/>
      <c r="L144" s="25" t="s">
        <v>1334</v>
      </c>
      <c r="M144" s="25" t="s">
        <v>1336</v>
      </c>
    </row>
    <row r="145" spans="1:16" s="25" customFormat="1" ht="17" thickBot="1" x14ac:dyDescent="0.25">
      <c r="A145" s="79">
        <f t="shared" si="7"/>
        <v>100</v>
      </c>
      <c r="B145" s="85">
        <v>70</v>
      </c>
      <c r="C145" s="86">
        <v>0</v>
      </c>
      <c r="D145" s="200">
        <f t="shared" si="4"/>
        <v>60</v>
      </c>
      <c r="E145" s="201">
        <f t="shared" si="5"/>
        <v>-15</v>
      </c>
      <c r="F145" s="202">
        <f t="shared" si="6"/>
        <v>45</v>
      </c>
      <c r="H145" s="27"/>
    </row>
    <row r="146" spans="1:16" s="25" customFormat="1" x14ac:dyDescent="0.2">
      <c r="A146" s="78"/>
      <c r="H146" s="27"/>
      <c r="N146" s="32" t="s">
        <v>280</v>
      </c>
    </row>
    <row r="147" spans="1:16" s="25" customFormat="1" x14ac:dyDescent="0.2">
      <c r="A147" s="78"/>
      <c r="H147" s="27"/>
    </row>
    <row r="148" spans="1:16" x14ac:dyDescent="0.2">
      <c r="A148" s="64"/>
      <c r="H148" s="42"/>
    </row>
    <row r="149" spans="1:16" x14ac:dyDescent="0.2">
      <c r="A149" s="64"/>
      <c r="H149" s="42"/>
      <c r="J149" s="1" t="s">
        <v>1288</v>
      </c>
      <c r="P149" s="1" t="s">
        <v>1349</v>
      </c>
    </row>
    <row r="150" spans="1:16" x14ac:dyDescent="0.2">
      <c r="A150" s="64"/>
      <c r="H150" s="42"/>
      <c r="J150" s="1" t="s">
        <v>362</v>
      </c>
      <c r="P150" s="1" t="s">
        <v>1350</v>
      </c>
    </row>
    <row r="151" spans="1:16" x14ac:dyDescent="0.2">
      <c r="A151" s="64"/>
      <c r="H151" s="42"/>
      <c r="J151" s="1" t="s">
        <v>1348</v>
      </c>
      <c r="P151" s="1" t="s">
        <v>1351</v>
      </c>
    </row>
    <row r="152" spans="1:16" x14ac:dyDescent="0.2">
      <c r="A152" s="64"/>
      <c r="H152" s="42"/>
      <c r="P152" s="1" t="s">
        <v>1352</v>
      </c>
    </row>
    <row r="153" spans="1:16" x14ac:dyDescent="0.2">
      <c r="A153" s="64"/>
      <c r="H153" s="42"/>
      <c r="P153" s="1" t="s">
        <v>1353</v>
      </c>
    </row>
    <row r="154" spans="1:16" x14ac:dyDescent="0.2">
      <c r="A154" s="64"/>
      <c r="H154" s="42"/>
      <c r="P154" s="1" t="s">
        <v>1354</v>
      </c>
    </row>
    <row r="155" spans="1:16" x14ac:dyDescent="0.2">
      <c r="A155" s="64"/>
      <c r="H155" s="42"/>
      <c r="P155" s="1" t="s">
        <v>1355</v>
      </c>
    </row>
    <row r="156" spans="1:16" x14ac:dyDescent="0.2">
      <c r="A156" s="64"/>
      <c r="H156" s="42"/>
      <c r="P156" s="1" t="s">
        <v>1356</v>
      </c>
    </row>
    <row r="157" spans="1:16" x14ac:dyDescent="0.2">
      <c r="A157" s="64"/>
      <c r="H157" s="42"/>
      <c r="I157" s="1" t="s">
        <v>71</v>
      </c>
      <c r="P157" s="1" t="s">
        <v>1357</v>
      </c>
    </row>
    <row r="158" spans="1:16" x14ac:dyDescent="0.2">
      <c r="A158" s="64"/>
      <c r="H158" s="42"/>
      <c r="P158" s="1" t="s">
        <v>1358</v>
      </c>
    </row>
    <row r="159" spans="1:16" x14ac:dyDescent="0.2">
      <c r="A159" s="64"/>
      <c r="H159" s="42"/>
      <c r="P159" s="1" t="s">
        <v>1359</v>
      </c>
    </row>
    <row r="160" spans="1:16" x14ac:dyDescent="0.2">
      <c r="A160" s="64"/>
      <c r="H160" s="42"/>
      <c r="P160" s="1" t="s">
        <v>1360</v>
      </c>
    </row>
    <row r="161" spans="1:16" x14ac:dyDescent="0.2">
      <c r="A161" s="64"/>
      <c r="H161" s="42"/>
      <c r="P161" s="1" t="s">
        <v>1361</v>
      </c>
    </row>
    <row r="162" spans="1:16" x14ac:dyDescent="0.2">
      <c r="A162" s="64"/>
      <c r="H162" s="42"/>
      <c r="P162" s="1" t="s">
        <v>1362</v>
      </c>
    </row>
    <row r="163" spans="1:16" x14ac:dyDescent="0.2">
      <c r="A163" s="64"/>
      <c r="H163" s="42"/>
      <c r="P163" s="1" t="s">
        <v>1363</v>
      </c>
    </row>
    <row r="164" spans="1:16" ht="17" thickBot="1" x14ac:dyDescent="0.25">
      <c r="A164" s="65"/>
      <c r="B164" s="44"/>
      <c r="C164" s="44"/>
      <c r="D164" s="44"/>
      <c r="E164" s="44"/>
      <c r="F164" s="44"/>
      <c r="G164" s="44"/>
      <c r="H164" s="45"/>
      <c r="P164" s="1" t="s">
        <v>1364</v>
      </c>
    </row>
    <row r="165" spans="1:16" x14ac:dyDescent="0.2">
      <c r="P165" s="1" t="s">
        <v>1365</v>
      </c>
    </row>
    <row r="166" spans="1:16" x14ac:dyDescent="0.2">
      <c r="P166" s="1" t="s">
        <v>1366</v>
      </c>
    </row>
    <row r="167" spans="1:16" x14ac:dyDescent="0.2">
      <c r="P167" s="1" t="s">
        <v>1367</v>
      </c>
    </row>
    <row r="168" spans="1:16" x14ac:dyDescent="0.2">
      <c r="P168" s="1" t="s">
        <v>1368</v>
      </c>
    </row>
    <row r="173" spans="1:16" x14ac:dyDescent="0.2">
      <c r="A173" s="165" t="s">
        <v>1370</v>
      </c>
    </row>
    <row r="174" spans="1:16" ht="17" thickBot="1" x14ac:dyDescent="0.25"/>
    <row r="175" spans="1:16" ht="17" thickBot="1" x14ac:dyDescent="0.25">
      <c r="A175" s="50" t="s">
        <v>1371</v>
      </c>
      <c r="B175" s="51"/>
      <c r="C175" s="51"/>
      <c r="D175" s="51"/>
      <c r="E175" s="51"/>
      <c r="F175" s="51"/>
      <c r="G175" s="51"/>
      <c r="H175" s="52"/>
    </row>
    <row r="176" spans="1:16" x14ac:dyDescent="0.2">
      <c r="A176" s="62" t="s">
        <v>1032</v>
      </c>
    </row>
    <row r="177" spans="1:3" x14ac:dyDescent="0.2">
      <c r="A177" s="62" t="s">
        <v>1372</v>
      </c>
    </row>
    <row r="178" spans="1:3" x14ac:dyDescent="0.2">
      <c r="A178" s="62" t="s">
        <v>1373</v>
      </c>
    </row>
    <row r="179" spans="1:3" x14ac:dyDescent="0.2">
      <c r="A179" s="62" t="s">
        <v>1374</v>
      </c>
    </row>
    <row r="181" spans="1:3" x14ac:dyDescent="0.2">
      <c r="B181" s="21" t="s">
        <v>389</v>
      </c>
      <c r="C181" s="48" t="s">
        <v>1266</v>
      </c>
    </row>
    <row r="182" spans="1:3" x14ac:dyDescent="0.2">
      <c r="B182" s="21" t="s">
        <v>1260</v>
      </c>
      <c r="C182" s="21">
        <v>40</v>
      </c>
    </row>
    <row r="183" spans="1:3" x14ac:dyDescent="0.2">
      <c r="B183" s="21" t="s">
        <v>1259</v>
      </c>
      <c r="C183" s="21">
        <v>30</v>
      </c>
    </row>
    <row r="184" spans="1:3" x14ac:dyDescent="0.2">
      <c r="B184" s="21" t="s">
        <v>406</v>
      </c>
      <c r="C184" s="21">
        <v>20</v>
      </c>
    </row>
    <row r="185" spans="1:3" x14ac:dyDescent="0.2">
      <c r="B185" s="21" t="s">
        <v>407</v>
      </c>
      <c r="C185" s="21">
        <v>10</v>
      </c>
    </row>
    <row r="186" spans="1:3" x14ac:dyDescent="0.2">
      <c r="B186" s="21" t="s">
        <v>390</v>
      </c>
      <c r="C186" s="21">
        <v>5</v>
      </c>
    </row>
    <row r="187" spans="1:3" x14ac:dyDescent="0.2">
      <c r="B187" s="21" t="s">
        <v>1377</v>
      </c>
      <c r="C187" s="21">
        <v>2</v>
      </c>
    </row>
    <row r="188" spans="1:3" x14ac:dyDescent="0.2">
      <c r="B188" s="21" t="s">
        <v>1378</v>
      </c>
      <c r="C188" s="21">
        <v>8</v>
      </c>
    </row>
    <row r="189" spans="1:3" x14ac:dyDescent="0.2">
      <c r="B189" s="21" t="s">
        <v>1379</v>
      </c>
      <c r="C189" s="21">
        <v>12</v>
      </c>
    </row>
    <row r="190" spans="1:3" x14ac:dyDescent="0.2">
      <c r="B190" s="21" t="s">
        <v>1375</v>
      </c>
      <c r="C190" s="21">
        <v>17</v>
      </c>
    </row>
    <row r="191" spans="1:3" x14ac:dyDescent="0.2">
      <c r="B191" s="21" t="s">
        <v>1381</v>
      </c>
      <c r="C191" s="21">
        <v>23</v>
      </c>
    </row>
    <row r="193" spans="1:13" x14ac:dyDescent="0.2">
      <c r="A193" s="62" t="s">
        <v>403</v>
      </c>
    </row>
    <row r="194" spans="1:13" x14ac:dyDescent="0.2">
      <c r="A194" s="62" t="s">
        <v>1376</v>
      </c>
    </row>
    <row r="195" spans="1:13" x14ac:dyDescent="0.2">
      <c r="A195" s="62" t="s">
        <v>1343</v>
      </c>
    </row>
    <row r="197" spans="1:13" x14ac:dyDescent="0.2">
      <c r="A197" s="62" t="s">
        <v>78</v>
      </c>
    </row>
    <row r="198" spans="1:13" x14ac:dyDescent="0.2">
      <c r="H198" s="25"/>
      <c r="I198" s="25"/>
      <c r="J198" s="25"/>
      <c r="K198" s="25"/>
      <c r="L198" s="25"/>
      <c r="M198" s="32" t="s">
        <v>280</v>
      </c>
    </row>
    <row r="199" spans="1:13" x14ac:dyDescent="0.2">
      <c r="A199" s="161" t="s">
        <v>71</v>
      </c>
      <c r="B199" s="21" t="s">
        <v>1380</v>
      </c>
      <c r="C199" s="21" t="s">
        <v>1382</v>
      </c>
      <c r="D199" s="21" t="s">
        <v>1195</v>
      </c>
      <c r="H199" s="25"/>
      <c r="I199" s="25"/>
      <c r="J199" s="25"/>
      <c r="K199" s="25"/>
      <c r="L199" s="25"/>
      <c r="M199" s="25"/>
    </row>
    <row r="200" spans="1:13" x14ac:dyDescent="0.2">
      <c r="A200" s="161">
        <v>0</v>
      </c>
      <c r="B200" s="21">
        <v>-10</v>
      </c>
      <c r="C200" s="21">
        <f>40-0-17</f>
        <v>23</v>
      </c>
      <c r="D200" s="21">
        <f>B200+C200</f>
        <v>13</v>
      </c>
    </row>
    <row r="201" spans="1:13" x14ac:dyDescent="0.2">
      <c r="A201" s="161">
        <f>A200+10</f>
        <v>10</v>
      </c>
      <c r="B201" s="21">
        <v>-10</v>
      </c>
      <c r="C201" s="21">
        <f>40-10-17</f>
        <v>13</v>
      </c>
      <c r="D201" s="21">
        <f t="shared" ref="D201:D210" si="8">B201+C201</f>
        <v>3</v>
      </c>
      <c r="I201" s="1" t="s">
        <v>1288</v>
      </c>
    </row>
    <row r="202" spans="1:13" x14ac:dyDescent="0.2">
      <c r="A202" s="161">
        <f t="shared" ref="A202:A210" si="9">A201+10</f>
        <v>20</v>
      </c>
      <c r="B202" s="21">
        <v>-10</v>
      </c>
      <c r="C202" s="21">
        <f>40-20-17</f>
        <v>3</v>
      </c>
      <c r="D202" s="21">
        <f t="shared" si="8"/>
        <v>-7</v>
      </c>
      <c r="I202" s="1" t="s">
        <v>362</v>
      </c>
    </row>
    <row r="203" spans="1:13" x14ac:dyDescent="0.2">
      <c r="A203" s="161">
        <f t="shared" si="9"/>
        <v>30</v>
      </c>
      <c r="B203" s="21">
        <v>-10</v>
      </c>
      <c r="C203" s="21">
        <f>40-30-17</f>
        <v>-7</v>
      </c>
      <c r="D203" s="21">
        <f t="shared" si="8"/>
        <v>-17</v>
      </c>
      <c r="I203" s="1" t="s">
        <v>1383</v>
      </c>
    </row>
    <row r="204" spans="1:13" x14ac:dyDescent="0.2">
      <c r="A204" s="161">
        <f t="shared" si="9"/>
        <v>40</v>
      </c>
      <c r="B204" s="21">
        <v>-10</v>
      </c>
      <c r="C204" s="21">
        <v>-17</v>
      </c>
      <c r="D204" s="21">
        <f t="shared" si="8"/>
        <v>-27</v>
      </c>
    </row>
    <row r="205" spans="1:13" x14ac:dyDescent="0.2">
      <c r="A205" s="161">
        <f t="shared" si="9"/>
        <v>50</v>
      </c>
      <c r="B205" s="21">
        <f>50-40-10</f>
        <v>0</v>
      </c>
      <c r="C205" s="21">
        <v>-17</v>
      </c>
      <c r="D205" s="21">
        <f t="shared" si="8"/>
        <v>-17</v>
      </c>
    </row>
    <row r="206" spans="1:13" x14ac:dyDescent="0.2">
      <c r="A206" s="161">
        <f t="shared" si="9"/>
        <v>60</v>
      </c>
      <c r="B206" s="21">
        <f>60-40-10</f>
        <v>10</v>
      </c>
      <c r="C206" s="21">
        <v>-17</v>
      </c>
      <c r="D206" s="21">
        <f t="shared" si="8"/>
        <v>-7</v>
      </c>
    </row>
    <row r="207" spans="1:13" x14ac:dyDescent="0.2">
      <c r="A207" s="161">
        <f t="shared" si="9"/>
        <v>70</v>
      </c>
      <c r="B207" s="21">
        <f>70-40-10</f>
        <v>20</v>
      </c>
      <c r="C207" s="21">
        <v>-17</v>
      </c>
      <c r="D207" s="21">
        <f t="shared" si="8"/>
        <v>3</v>
      </c>
    </row>
    <row r="208" spans="1:13" x14ac:dyDescent="0.2">
      <c r="A208" s="161">
        <f t="shared" si="9"/>
        <v>80</v>
      </c>
      <c r="B208" s="21">
        <f>80-40-10</f>
        <v>30</v>
      </c>
      <c r="C208" s="21">
        <v>-17</v>
      </c>
      <c r="D208" s="21">
        <f t="shared" si="8"/>
        <v>13</v>
      </c>
    </row>
    <row r="209" spans="1:8" x14ac:dyDescent="0.2">
      <c r="A209" s="161">
        <f t="shared" si="9"/>
        <v>90</v>
      </c>
      <c r="B209" s="21">
        <f>90-40-10</f>
        <v>40</v>
      </c>
      <c r="C209" s="21">
        <v>-17</v>
      </c>
      <c r="D209" s="21">
        <f t="shared" si="8"/>
        <v>23</v>
      </c>
      <c r="H209" s="1" t="s">
        <v>71</v>
      </c>
    </row>
    <row r="210" spans="1:8" x14ac:dyDescent="0.2">
      <c r="A210" s="161">
        <f t="shared" si="9"/>
        <v>100</v>
      </c>
      <c r="B210" s="21">
        <f>100-40-10</f>
        <v>50</v>
      </c>
      <c r="C210" s="21">
        <v>-17</v>
      </c>
      <c r="D210" s="21">
        <f t="shared" si="8"/>
        <v>33</v>
      </c>
    </row>
    <row r="403" spans="1:8" ht="17" thickBot="1" x14ac:dyDescent="0.25"/>
    <row r="404" spans="1:8" ht="17" thickBot="1" x14ac:dyDescent="0.25">
      <c r="A404" s="50" t="s">
        <v>1257</v>
      </c>
      <c r="B404" s="51"/>
      <c r="C404" s="51"/>
      <c r="D404" s="51"/>
      <c r="E404" s="51"/>
      <c r="F404" s="51"/>
      <c r="G404" s="51"/>
      <c r="H404" s="52"/>
    </row>
    <row r="406" spans="1:8" x14ac:dyDescent="0.2">
      <c r="A406" s="62" t="s">
        <v>1258</v>
      </c>
    </row>
    <row r="407" spans="1:8" x14ac:dyDescent="0.2">
      <c r="A407" s="62" t="s">
        <v>394</v>
      </c>
    </row>
    <row r="408" spans="1:8" x14ac:dyDescent="0.2">
      <c r="A408" s="62" t="s">
        <v>413</v>
      </c>
    </row>
    <row r="410" spans="1:8" x14ac:dyDescent="0.2">
      <c r="B410" s="21" t="s">
        <v>389</v>
      </c>
      <c r="C410" s="21" t="s">
        <v>395</v>
      </c>
    </row>
    <row r="411" spans="1:8" x14ac:dyDescent="0.2">
      <c r="B411" s="60" t="s">
        <v>407</v>
      </c>
      <c r="C411" s="60">
        <v>10</v>
      </c>
    </row>
    <row r="412" spans="1:8" x14ac:dyDescent="0.2">
      <c r="B412" s="21" t="s">
        <v>1259</v>
      </c>
      <c r="C412" s="21">
        <v>21</v>
      </c>
    </row>
    <row r="413" spans="1:8" x14ac:dyDescent="0.2">
      <c r="B413" s="21" t="s">
        <v>1260</v>
      </c>
      <c r="C413" s="21">
        <v>31</v>
      </c>
    </row>
    <row r="414" spans="1:8" x14ac:dyDescent="0.2">
      <c r="B414" s="60" t="s">
        <v>408</v>
      </c>
      <c r="C414" s="60">
        <v>15</v>
      </c>
    </row>
    <row r="416" spans="1:8" x14ac:dyDescent="0.2">
      <c r="A416" s="62" t="s">
        <v>403</v>
      </c>
    </row>
    <row r="417" spans="1:8" x14ac:dyDescent="0.2">
      <c r="A417" s="62" t="s">
        <v>404</v>
      </c>
    </row>
    <row r="418" spans="1:8" x14ac:dyDescent="0.2">
      <c r="A418" s="62" t="s">
        <v>405</v>
      </c>
    </row>
    <row r="420" spans="1:8" ht="21" x14ac:dyDescent="0.25">
      <c r="A420" s="153" t="s">
        <v>1154</v>
      </c>
    </row>
    <row r="421" spans="1:8" ht="17" thickBot="1" x14ac:dyDescent="0.25"/>
    <row r="422" spans="1:8" ht="17" thickBot="1" x14ac:dyDescent="0.25">
      <c r="A422" s="156" t="s">
        <v>1155</v>
      </c>
      <c r="B422" s="157"/>
      <c r="C422" s="157"/>
      <c r="D422" s="157"/>
      <c r="E422" s="157"/>
      <c r="F422" s="157"/>
      <c r="G422" s="157"/>
      <c r="H422" s="158"/>
    </row>
    <row r="424" spans="1:8" x14ac:dyDescent="0.2">
      <c r="A424" s="62" t="s">
        <v>1156</v>
      </c>
    </row>
    <row r="425" spans="1:8" x14ac:dyDescent="0.2">
      <c r="A425" s="62" t="s">
        <v>1164</v>
      </c>
    </row>
    <row r="426" spans="1:8" x14ac:dyDescent="0.2">
      <c r="A426" s="62" t="s">
        <v>1165</v>
      </c>
    </row>
    <row r="427" spans="1:8" x14ac:dyDescent="0.2">
      <c r="A427" s="62" t="s">
        <v>1166</v>
      </c>
    </row>
    <row r="428" spans="1:8" x14ac:dyDescent="0.2">
      <c r="A428" s="62" t="s">
        <v>1167</v>
      </c>
    </row>
    <row r="430" spans="1:8" x14ac:dyDescent="0.2">
      <c r="A430" s="62" t="s">
        <v>1163</v>
      </c>
    </row>
    <row r="432" spans="1:8" x14ac:dyDescent="0.2">
      <c r="A432" s="62" t="s">
        <v>78</v>
      </c>
    </row>
    <row r="433" spans="1:8" x14ac:dyDescent="0.2">
      <c r="B433" s="21" t="s">
        <v>1158</v>
      </c>
      <c r="C433" s="21" t="s">
        <v>77</v>
      </c>
      <c r="D433" s="21" t="s">
        <v>77</v>
      </c>
      <c r="E433" s="21" t="s">
        <v>77</v>
      </c>
    </row>
    <row r="434" spans="1:8" x14ac:dyDescent="0.2">
      <c r="A434" s="162" t="s">
        <v>71</v>
      </c>
      <c r="B434" s="75" t="s">
        <v>1159</v>
      </c>
      <c r="C434" s="75" t="s">
        <v>1160</v>
      </c>
      <c r="D434" s="75" t="s">
        <v>1161</v>
      </c>
      <c r="E434" s="75" t="s">
        <v>1162</v>
      </c>
    </row>
    <row r="435" spans="1:8" x14ac:dyDescent="0.2">
      <c r="A435" s="161">
        <v>3</v>
      </c>
      <c r="B435" s="21">
        <v>-500</v>
      </c>
      <c r="C435" s="21">
        <f>400</f>
        <v>400</v>
      </c>
      <c r="D435" s="21">
        <f>-800+(3.6-3)*10000</f>
        <v>5200.0000000000009</v>
      </c>
      <c r="E435" s="21">
        <f>1000-(3.7-3)*10000</f>
        <v>-6000.0000000000018</v>
      </c>
    </row>
    <row r="436" spans="1:8" x14ac:dyDescent="0.2">
      <c r="A436" s="161">
        <f t="shared" ref="A436:A445" si="10">A435+0.1</f>
        <v>3.1</v>
      </c>
      <c r="B436" s="21">
        <v>-500</v>
      </c>
      <c r="C436" s="21">
        <f>400</f>
        <v>400</v>
      </c>
      <c r="D436" s="21">
        <f>-800+(3.6-3.1)*10000</f>
        <v>4200</v>
      </c>
      <c r="E436" s="21">
        <f>1000-(3.7-3.1)*10000</f>
        <v>-5000.0000000000009</v>
      </c>
    </row>
    <row r="437" spans="1:8" x14ac:dyDescent="0.2">
      <c r="A437" s="161">
        <f t="shared" si="10"/>
        <v>3.2</v>
      </c>
      <c r="B437" s="21">
        <v>-500</v>
      </c>
      <c r="C437" s="21">
        <f>400</f>
        <v>400</v>
      </c>
      <c r="D437" s="21">
        <f>-800+(3.6-3.2)*10000</f>
        <v>3199.9999999999991</v>
      </c>
      <c r="E437" s="21">
        <f>1000-(3.7-3.2)*10000</f>
        <v>-4000</v>
      </c>
    </row>
    <row r="438" spans="1:8" x14ac:dyDescent="0.2">
      <c r="A438" s="161">
        <f t="shared" si="10"/>
        <v>3.3000000000000003</v>
      </c>
      <c r="B438" s="21">
        <v>-500</v>
      </c>
      <c r="C438" s="21">
        <f>400</f>
        <v>400</v>
      </c>
      <c r="D438" s="21">
        <f>-800+(3.6-3.3)*10000</f>
        <v>2200.0000000000027</v>
      </c>
      <c r="E438" s="21">
        <f>1000-(3.7-3.3)*10000</f>
        <v>-3000.0000000000036</v>
      </c>
    </row>
    <row r="439" spans="1:8" x14ac:dyDescent="0.2">
      <c r="A439" s="161">
        <f t="shared" si="10"/>
        <v>3.4000000000000004</v>
      </c>
      <c r="B439" s="21">
        <v>-500</v>
      </c>
      <c r="C439" s="21">
        <f>400</f>
        <v>400</v>
      </c>
      <c r="D439" s="21">
        <f>-800+(3.6-3.4)*10000</f>
        <v>1200.0000000000018</v>
      </c>
      <c r="E439" s="21">
        <f>1000-(3.7-3.4)*10000</f>
        <v>-2000.0000000000027</v>
      </c>
    </row>
    <row r="440" spans="1:8" x14ac:dyDescent="0.2">
      <c r="A440" s="161">
        <f t="shared" si="10"/>
        <v>3.5000000000000004</v>
      </c>
      <c r="B440" s="21">
        <f>(3.5-3.4)*10000-500</f>
        <v>500.00000000000091</v>
      </c>
      <c r="C440" s="21">
        <f>400</f>
        <v>400</v>
      </c>
      <c r="D440" s="21">
        <f>-800+(3.6-3.5)*10000</f>
        <v>200.00000000000091</v>
      </c>
      <c r="E440" s="21">
        <f>1000-(3.7-3.5)*10000</f>
        <v>-1000.0000000000018</v>
      </c>
    </row>
    <row r="441" spans="1:8" x14ac:dyDescent="0.2">
      <c r="A441" s="161">
        <f t="shared" si="10"/>
        <v>3.6000000000000005</v>
      </c>
      <c r="B441" s="21">
        <f>(3.6-3.4)*10000-500</f>
        <v>1500.0000000000018</v>
      </c>
      <c r="C441" s="21">
        <f>400-(3.6-3.5)*10000</f>
        <v>-600.00000000000091</v>
      </c>
      <c r="D441" s="21">
        <v>-800</v>
      </c>
      <c r="E441" s="160">
        <f>1000-(3.7-3.6)*10000</f>
        <v>-9.0949470177292824E-13</v>
      </c>
    </row>
    <row r="442" spans="1:8" x14ac:dyDescent="0.2">
      <c r="A442" s="161">
        <f t="shared" si="10"/>
        <v>3.7000000000000006</v>
      </c>
      <c r="B442" s="21">
        <f>(3.7-3.4)*10000-500</f>
        <v>2500.0000000000027</v>
      </c>
      <c r="C442" s="21">
        <f>400-(3.7-3.5)*10000</f>
        <v>-1600.0000000000018</v>
      </c>
      <c r="D442" s="21">
        <v>-800</v>
      </c>
      <c r="E442" s="21">
        <f>1000</f>
        <v>1000</v>
      </c>
    </row>
    <row r="443" spans="1:8" x14ac:dyDescent="0.2">
      <c r="A443" s="161">
        <f t="shared" si="10"/>
        <v>3.8000000000000007</v>
      </c>
      <c r="B443" s="21">
        <f>(3.8-3.4)*10000-500</f>
        <v>3499.9999999999991</v>
      </c>
      <c r="C443" s="21">
        <f>400-(3.8-3.5)*10000</f>
        <v>-2599.9999999999982</v>
      </c>
      <c r="D443" s="21">
        <v>-800</v>
      </c>
      <c r="E443" s="21">
        <f>1000</f>
        <v>1000</v>
      </c>
    </row>
    <row r="444" spans="1:8" x14ac:dyDescent="0.2">
      <c r="A444" s="161">
        <f t="shared" si="10"/>
        <v>3.9000000000000008</v>
      </c>
      <c r="B444" s="21">
        <f>(3.9-3.4)*10000-500</f>
        <v>4500</v>
      </c>
      <c r="C444" s="21">
        <f>400-(3.9-3.5)*10000</f>
        <v>-3599.9999999999991</v>
      </c>
      <c r="D444" s="21">
        <v>-800</v>
      </c>
      <c r="E444" s="21">
        <f>1000</f>
        <v>1000</v>
      </c>
    </row>
    <row r="445" spans="1:8" x14ac:dyDescent="0.2">
      <c r="A445" s="161">
        <f t="shared" si="10"/>
        <v>4.0000000000000009</v>
      </c>
      <c r="B445" s="21">
        <f>(4-3.4)*10000-500</f>
        <v>5500.0000000000009</v>
      </c>
      <c r="C445" s="21">
        <f>400-(4-3.5)*10000</f>
        <v>-4600</v>
      </c>
      <c r="D445" s="21">
        <v>-800</v>
      </c>
      <c r="E445" s="21">
        <f>1000</f>
        <v>1000</v>
      </c>
    </row>
    <row r="446" spans="1:8" ht="17" thickBot="1" x14ac:dyDescent="0.25"/>
    <row r="447" spans="1:8" ht="17" thickBot="1" x14ac:dyDescent="0.25">
      <c r="A447" s="15" t="s">
        <v>1168</v>
      </c>
      <c r="B447" s="16"/>
      <c r="C447" s="16"/>
      <c r="D447" s="16"/>
      <c r="E447" s="16"/>
      <c r="F447" s="16"/>
      <c r="G447" s="16"/>
      <c r="H447" s="17"/>
    </row>
    <row r="448" spans="1:8" x14ac:dyDescent="0.2">
      <c r="A448" s="1" t="s">
        <v>1169</v>
      </c>
    </row>
    <row r="449" spans="1:8" x14ac:dyDescent="0.2">
      <c r="A449" s="1" t="s">
        <v>1170</v>
      </c>
    </row>
    <row r="450" spans="1:8" x14ac:dyDescent="0.2">
      <c r="A450" s="1" t="s">
        <v>1171</v>
      </c>
    </row>
    <row r="451" spans="1:8" x14ac:dyDescent="0.2">
      <c r="A451" s="1" t="s">
        <v>1172</v>
      </c>
    </row>
    <row r="452" spans="1:8" x14ac:dyDescent="0.2">
      <c r="A452" s="1" t="s">
        <v>1173</v>
      </c>
    </row>
    <row r="454" spans="1:8" x14ac:dyDescent="0.2">
      <c r="A454" s="62" t="s">
        <v>78</v>
      </c>
    </row>
    <row r="455" spans="1:8" x14ac:dyDescent="0.2">
      <c r="A455" s="62" t="s">
        <v>1174</v>
      </c>
    </row>
    <row r="456" spans="1:8" x14ac:dyDescent="0.2">
      <c r="A456" s="62" t="s">
        <v>1175</v>
      </c>
    </row>
    <row r="457" spans="1:8" x14ac:dyDescent="0.2">
      <c r="A457" s="62" t="s">
        <v>1176</v>
      </c>
    </row>
    <row r="458" spans="1:8" x14ac:dyDescent="0.2">
      <c r="A458" s="62" t="s">
        <v>1177</v>
      </c>
    </row>
    <row r="459" spans="1:8" x14ac:dyDescent="0.2">
      <c r="A459" s="62" t="s">
        <v>1178</v>
      </c>
    </row>
    <row r="460" spans="1:8" x14ac:dyDescent="0.2">
      <c r="A460" s="62" t="s">
        <v>1179</v>
      </c>
    </row>
    <row r="461" spans="1:8" x14ac:dyDescent="0.2">
      <c r="A461" s="62" t="s">
        <v>1180</v>
      </c>
    </row>
    <row r="462" spans="1:8" x14ac:dyDescent="0.2">
      <c r="A462" s="62" t="s">
        <v>1181</v>
      </c>
    </row>
    <row r="463" spans="1:8" ht="17" thickBot="1" x14ac:dyDescent="0.25"/>
    <row r="464" spans="1:8" ht="17" thickBot="1" x14ac:dyDescent="0.25">
      <c r="A464" s="15" t="s">
        <v>1182</v>
      </c>
      <c r="B464" s="16"/>
      <c r="C464" s="16"/>
      <c r="D464" s="16"/>
      <c r="E464" s="16"/>
      <c r="F464" s="16"/>
      <c r="G464" s="16"/>
      <c r="H464" s="17"/>
    </row>
    <row r="465" spans="1:8" x14ac:dyDescent="0.2">
      <c r="A465" s="1"/>
    </row>
    <row r="466" spans="1:8" x14ac:dyDescent="0.2">
      <c r="A466" s="1" t="s">
        <v>1183</v>
      </c>
    </row>
    <row r="467" spans="1:8" x14ac:dyDescent="0.2">
      <c r="A467" s="1" t="s">
        <v>1184</v>
      </c>
    </row>
    <row r="468" spans="1:8" x14ac:dyDescent="0.2">
      <c r="A468" s="1" t="s">
        <v>1149</v>
      </c>
    </row>
    <row r="469" spans="1:8" x14ac:dyDescent="0.2">
      <c r="A469" s="1"/>
    </row>
    <row r="470" spans="1:8" x14ac:dyDescent="0.2">
      <c r="A470" s="1" t="s">
        <v>78</v>
      </c>
    </row>
    <row r="471" spans="1:8" x14ac:dyDescent="0.2">
      <c r="A471" s="1"/>
    </row>
    <row r="472" spans="1:8" x14ac:dyDescent="0.2">
      <c r="A472" s="81" t="s">
        <v>283</v>
      </c>
      <c r="B472" s="81" t="s">
        <v>239</v>
      </c>
      <c r="C472" s="81" t="s">
        <v>77</v>
      </c>
      <c r="D472" s="25"/>
      <c r="E472" s="25"/>
      <c r="F472" s="25"/>
      <c r="G472" s="25"/>
      <c r="H472" s="25"/>
    </row>
    <row r="473" spans="1:8" x14ac:dyDescent="0.2">
      <c r="A473" s="32">
        <v>150</v>
      </c>
      <c r="B473" s="21">
        <v>0</v>
      </c>
      <c r="C473" s="32">
        <f>15</f>
        <v>15</v>
      </c>
      <c r="D473" s="25"/>
      <c r="E473" s="25"/>
      <c r="F473" s="155"/>
      <c r="G473" s="155"/>
      <c r="H473" s="155"/>
    </row>
    <row r="474" spans="1:8" x14ac:dyDescent="0.2">
      <c r="A474" s="32">
        <f t="shared" ref="A474:A483" si="11">A473+10</f>
        <v>160</v>
      </c>
      <c r="B474" s="21">
        <v>0</v>
      </c>
      <c r="C474" s="32">
        <f>15</f>
        <v>15</v>
      </c>
      <c r="D474" s="25"/>
      <c r="E474" s="25"/>
      <c r="F474" s="155"/>
      <c r="G474" s="155"/>
      <c r="H474" s="155"/>
    </row>
    <row r="475" spans="1:8" x14ac:dyDescent="0.2">
      <c r="A475" s="32">
        <f t="shared" si="11"/>
        <v>170</v>
      </c>
      <c r="B475" s="21">
        <v>0</v>
      </c>
      <c r="C475" s="32">
        <f>15</f>
        <v>15</v>
      </c>
      <c r="D475" s="25"/>
      <c r="E475" s="25"/>
      <c r="F475" s="25"/>
      <c r="G475" s="25"/>
      <c r="H475" s="25"/>
    </row>
    <row r="476" spans="1:8" x14ac:dyDescent="0.2">
      <c r="A476" s="32">
        <f t="shared" si="11"/>
        <v>180</v>
      </c>
      <c r="B476" s="21">
        <v>0</v>
      </c>
      <c r="C476" s="32">
        <f>15</f>
        <v>15</v>
      </c>
      <c r="D476" s="25"/>
      <c r="E476" s="25"/>
      <c r="F476" s="25"/>
      <c r="G476" s="25"/>
      <c r="H476" s="25"/>
    </row>
    <row r="477" spans="1:8" x14ac:dyDescent="0.2">
      <c r="A477" s="32">
        <f t="shared" si="11"/>
        <v>190</v>
      </c>
      <c r="B477" s="21">
        <v>0</v>
      </c>
      <c r="C477" s="32">
        <f>15</f>
        <v>15</v>
      </c>
      <c r="D477" s="25"/>
      <c r="E477" s="25"/>
      <c r="F477" s="25"/>
      <c r="G477" s="25"/>
      <c r="H477" s="25"/>
    </row>
    <row r="478" spans="1:8" x14ac:dyDescent="0.2">
      <c r="A478" s="32">
        <f t="shared" si="11"/>
        <v>200</v>
      </c>
      <c r="B478" s="21">
        <v>0</v>
      </c>
      <c r="C478" s="32">
        <f>15</f>
        <v>15</v>
      </c>
      <c r="D478" s="25"/>
      <c r="E478" s="25"/>
      <c r="F478" s="25"/>
      <c r="G478" s="25"/>
      <c r="H478" s="25"/>
    </row>
    <row r="479" spans="1:8" x14ac:dyDescent="0.2">
      <c r="A479" s="32">
        <f t="shared" si="11"/>
        <v>210</v>
      </c>
      <c r="B479" s="21">
        <f>-(210-200)</f>
        <v>-10</v>
      </c>
      <c r="C479" s="32">
        <f>15-(210-200)</f>
        <v>5</v>
      </c>
      <c r="D479" s="25"/>
      <c r="E479" s="25"/>
      <c r="F479" s="25"/>
      <c r="G479" s="25"/>
      <c r="H479" s="25"/>
    </row>
    <row r="480" spans="1:8" x14ac:dyDescent="0.2">
      <c r="A480" s="32">
        <f t="shared" si="11"/>
        <v>220</v>
      </c>
      <c r="B480" s="21">
        <f>-(220-200)</f>
        <v>-20</v>
      </c>
      <c r="C480" s="32">
        <f>15-(220-200)</f>
        <v>-5</v>
      </c>
    </row>
    <row r="481" spans="1:5" x14ac:dyDescent="0.2">
      <c r="A481" s="32">
        <f t="shared" si="11"/>
        <v>230</v>
      </c>
      <c r="B481" s="21">
        <f>-(230-200)</f>
        <v>-30</v>
      </c>
      <c r="C481" s="32">
        <f>15-(230-200)</f>
        <v>-15</v>
      </c>
    </row>
    <row r="482" spans="1:5" x14ac:dyDescent="0.2">
      <c r="A482" s="32">
        <f t="shared" si="11"/>
        <v>240</v>
      </c>
      <c r="B482" s="21">
        <f>-(240-200)</f>
        <v>-40</v>
      </c>
      <c r="C482" s="32">
        <f>15-(240-200)</f>
        <v>-25</v>
      </c>
    </row>
    <row r="483" spans="1:5" x14ac:dyDescent="0.2">
      <c r="A483" s="32">
        <f t="shared" si="11"/>
        <v>250</v>
      </c>
      <c r="B483" s="21">
        <f>-(250-200)</f>
        <v>-50</v>
      </c>
      <c r="C483" s="32">
        <f>15-(250-200)</f>
        <v>-35</v>
      </c>
    </row>
    <row r="484" spans="1:5" x14ac:dyDescent="0.2">
      <c r="A484" s="32"/>
    </row>
    <row r="485" spans="1:5" x14ac:dyDescent="0.2">
      <c r="A485" s="62" t="s">
        <v>1185</v>
      </c>
    </row>
    <row r="486" spans="1:5" x14ac:dyDescent="0.2">
      <c r="E486" s="1" t="s">
        <v>1186</v>
      </c>
    </row>
    <row r="494" spans="1:5" x14ac:dyDescent="0.2">
      <c r="E494" s="104">
        <v>15</v>
      </c>
    </row>
    <row r="496" spans="1:5" x14ac:dyDescent="0.2">
      <c r="C496" s="21">
        <v>215</v>
      </c>
      <c r="D496" s="21">
        <v>200</v>
      </c>
    </row>
    <row r="497" spans="1:8" x14ac:dyDescent="0.2">
      <c r="B497" s="21" t="s">
        <v>71</v>
      </c>
    </row>
    <row r="500" spans="1:8" x14ac:dyDescent="0.2">
      <c r="B500" s="1" t="s">
        <v>77</v>
      </c>
    </row>
    <row r="503" spans="1:8" x14ac:dyDescent="0.2">
      <c r="B503" s="1" t="s">
        <v>239</v>
      </c>
    </row>
    <row r="504" spans="1:8" ht="17" thickBot="1" x14ac:dyDescent="0.25"/>
    <row r="505" spans="1:8" ht="17" thickBot="1" x14ac:dyDescent="0.25">
      <c r="A505" s="50" t="s">
        <v>1189</v>
      </c>
      <c r="B505" s="51"/>
      <c r="C505" s="51"/>
      <c r="D505" s="51"/>
      <c r="E505" s="51"/>
      <c r="F505" s="51"/>
      <c r="G505" s="51"/>
      <c r="H505" s="52"/>
    </row>
    <row r="507" spans="1:8" x14ac:dyDescent="0.2">
      <c r="A507" s="62" t="s">
        <v>1187</v>
      </c>
    </row>
    <row r="508" spans="1:8" x14ac:dyDescent="0.2">
      <c r="A508" s="62" t="s">
        <v>394</v>
      </c>
    </row>
    <row r="509" spans="1:8" x14ac:dyDescent="0.2">
      <c r="A509" s="62" t="s">
        <v>413</v>
      </c>
    </row>
    <row r="511" spans="1:8" x14ac:dyDescent="0.2">
      <c r="B511" s="21" t="s">
        <v>389</v>
      </c>
      <c r="C511" s="21" t="s">
        <v>395</v>
      </c>
    </row>
    <row r="512" spans="1:8" x14ac:dyDescent="0.2">
      <c r="B512" s="21" t="s">
        <v>1077</v>
      </c>
      <c r="C512" s="21">
        <v>20</v>
      </c>
    </row>
    <row r="513" spans="1:4" x14ac:dyDescent="0.2">
      <c r="B513" s="21" t="s">
        <v>526</v>
      </c>
      <c r="C513" s="21">
        <v>10</v>
      </c>
    </row>
    <row r="514" spans="1:4" x14ac:dyDescent="0.2">
      <c r="B514" s="21" t="s">
        <v>1076</v>
      </c>
      <c r="C514" s="21">
        <v>15</v>
      </c>
    </row>
    <row r="515" spans="1:4" x14ac:dyDescent="0.2">
      <c r="B515" s="21" t="s">
        <v>1188</v>
      </c>
      <c r="C515" s="21">
        <v>24</v>
      </c>
    </row>
    <row r="517" spans="1:4" x14ac:dyDescent="0.2">
      <c r="A517" s="62" t="s">
        <v>1192</v>
      </c>
    </row>
    <row r="518" spans="1:4" x14ac:dyDescent="0.2">
      <c r="A518" s="62" t="s">
        <v>1193</v>
      </c>
    </row>
    <row r="520" spans="1:4" x14ac:dyDescent="0.2">
      <c r="A520" s="62" t="s">
        <v>78</v>
      </c>
    </row>
    <row r="521" spans="1:4" x14ac:dyDescent="0.2">
      <c r="A521" s="62" t="s">
        <v>1190</v>
      </c>
    </row>
    <row r="522" spans="1:4" x14ac:dyDescent="0.2">
      <c r="A522" s="62" t="s">
        <v>1191</v>
      </c>
    </row>
    <row r="524" spans="1:4" x14ac:dyDescent="0.2">
      <c r="A524" s="62" t="s">
        <v>1194</v>
      </c>
    </row>
    <row r="526" spans="1:4" x14ac:dyDescent="0.2">
      <c r="A526" s="162" t="s">
        <v>71</v>
      </c>
      <c r="B526" s="75" t="s">
        <v>1196</v>
      </c>
      <c r="C526" s="75" t="s">
        <v>1197</v>
      </c>
      <c r="D526" s="75" t="s">
        <v>1195</v>
      </c>
    </row>
    <row r="527" spans="1:4" x14ac:dyDescent="0.2">
      <c r="A527" s="161">
        <v>30</v>
      </c>
      <c r="B527" s="21">
        <v>-20</v>
      </c>
      <c r="C527" s="21">
        <f>-15+100-30</f>
        <v>55</v>
      </c>
      <c r="D527" s="21">
        <f t="shared" ref="D527:D542" si="12">B527+C527</f>
        <v>35</v>
      </c>
    </row>
    <row r="528" spans="1:4" x14ac:dyDescent="0.2">
      <c r="A528" s="161">
        <f t="shared" ref="A528:A542" si="13">A527+10</f>
        <v>40</v>
      </c>
      <c r="B528" s="21">
        <v>-20</v>
      </c>
      <c r="C528" s="21">
        <f>-15+100-40</f>
        <v>45</v>
      </c>
      <c r="D528" s="21">
        <f t="shared" si="12"/>
        <v>25</v>
      </c>
    </row>
    <row r="529" spans="1:4" x14ac:dyDescent="0.2">
      <c r="A529" s="161">
        <f t="shared" si="13"/>
        <v>50</v>
      </c>
      <c r="B529" s="21">
        <v>-20</v>
      </c>
      <c r="C529" s="21">
        <f>-15+100-50</f>
        <v>35</v>
      </c>
      <c r="D529" s="21">
        <f t="shared" si="12"/>
        <v>15</v>
      </c>
    </row>
    <row r="530" spans="1:4" x14ac:dyDescent="0.2">
      <c r="A530" s="161">
        <f t="shared" si="13"/>
        <v>60</v>
      </c>
      <c r="B530" s="21">
        <v>-20</v>
      </c>
      <c r="C530" s="21">
        <f>-15+100-60</f>
        <v>25</v>
      </c>
      <c r="D530" s="21">
        <f t="shared" si="12"/>
        <v>5</v>
      </c>
    </row>
    <row r="531" spans="1:4" x14ac:dyDescent="0.2">
      <c r="A531" s="161">
        <f t="shared" si="13"/>
        <v>70</v>
      </c>
      <c r="B531" s="21">
        <v>-20</v>
      </c>
      <c r="C531" s="21">
        <f>-15+100-70</f>
        <v>15</v>
      </c>
      <c r="D531" s="21">
        <f t="shared" si="12"/>
        <v>-5</v>
      </c>
    </row>
    <row r="532" spans="1:4" x14ac:dyDescent="0.2">
      <c r="A532" s="161">
        <f t="shared" si="13"/>
        <v>80</v>
      </c>
      <c r="B532" s="21">
        <v>-20</v>
      </c>
      <c r="C532" s="21">
        <f>-15+100-80</f>
        <v>5</v>
      </c>
      <c r="D532" s="21">
        <f t="shared" si="12"/>
        <v>-15</v>
      </c>
    </row>
    <row r="533" spans="1:4" x14ac:dyDescent="0.2">
      <c r="A533" s="161">
        <f t="shared" si="13"/>
        <v>90</v>
      </c>
      <c r="B533" s="21">
        <v>-20</v>
      </c>
      <c r="C533" s="21">
        <f>-15+100-90</f>
        <v>-5</v>
      </c>
      <c r="D533" s="21">
        <f t="shared" si="12"/>
        <v>-25</v>
      </c>
    </row>
    <row r="534" spans="1:4" x14ac:dyDescent="0.2">
      <c r="A534" s="161">
        <f t="shared" si="13"/>
        <v>100</v>
      </c>
      <c r="B534" s="21">
        <v>-20</v>
      </c>
      <c r="C534" s="21">
        <v>-15</v>
      </c>
      <c r="D534" s="21">
        <f t="shared" si="12"/>
        <v>-35</v>
      </c>
    </row>
    <row r="535" spans="1:4" x14ac:dyDescent="0.2">
      <c r="A535" s="161">
        <f t="shared" si="13"/>
        <v>110</v>
      </c>
      <c r="B535" s="21">
        <f>-20+110-100</f>
        <v>-10</v>
      </c>
      <c r="C535" s="21">
        <v>-15</v>
      </c>
      <c r="D535" s="21">
        <f t="shared" si="12"/>
        <v>-25</v>
      </c>
    </row>
    <row r="536" spans="1:4" x14ac:dyDescent="0.2">
      <c r="A536" s="161">
        <f t="shared" si="13"/>
        <v>120</v>
      </c>
      <c r="B536" s="21">
        <f>-20+120-100</f>
        <v>0</v>
      </c>
      <c r="C536" s="21">
        <v>-15</v>
      </c>
      <c r="D536" s="21">
        <f t="shared" si="12"/>
        <v>-15</v>
      </c>
    </row>
    <row r="537" spans="1:4" x14ac:dyDescent="0.2">
      <c r="A537" s="161">
        <f t="shared" si="13"/>
        <v>130</v>
      </c>
      <c r="B537" s="21">
        <f>-20+130-100</f>
        <v>10</v>
      </c>
      <c r="C537" s="21">
        <v>-15</v>
      </c>
      <c r="D537" s="21">
        <f t="shared" si="12"/>
        <v>-5</v>
      </c>
    </row>
    <row r="538" spans="1:4" x14ac:dyDescent="0.2">
      <c r="A538" s="161">
        <f t="shared" si="13"/>
        <v>140</v>
      </c>
      <c r="B538" s="21">
        <f>-20+140-100</f>
        <v>20</v>
      </c>
      <c r="C538" s="21">
        <v>-15</v>
      </c>
      <c r="D538" s="21">
        <f t="shared" si="12"/>
        <v>5</v>
      </c>
    </row>
    <row r="539" spans="1:4" x14ac:dyDescent="0.2">
      <c r="A539" s="161">
        <f t="shared" si="13"/>
        <v>150</v>
      </c>
      <c r="B539" s="21">
        <f>-20+150-100</f>
        <v>30</v>
      </c>
      <c r="C539" s="21">
        <v>-15</v>
      </c>
      <c r="D539" s="21">
        <f t="shared" si="12"/>
        <v>15</v>
      </c>
    </row>
    <row r="540" spans="1:4" x14ac:dyDescent="0.2">
      <c r="A540" s="161">
        <f t="shared" si="13"/>
        <v>160</v>
      </c>
      <c r="B540" s="21">
        <f>-20+160-100</f>
        <v>40</v>
      </c>
      <c r="C540" s="21">
        <v>-15</v>
      </c>
      <c r="D540" s="21">
        <f t="shared" si="12"/>
        <v>25</v>
      </c>
    </row>
    <row r="541" spans="1:4" x14ac:dyDescent="0.2">
      <c r="A541" s="161">
        <f t="shared" si="13"/>
        <v>170</v>
      </c>
      <c r="B541" s="21">
        <f>-20+170-100</f>
        <v>50</v>
      </c>
      <c r="C541" s="21">
        <v>-15</v>
      </c>
      <c r="D541" s="21">
        <f t="shared" si="12"/>
        <v>35</v>
      </c>
    </row>
    <row r="542" spans="1:4" x14ac:dyDescent="0.2">
      <c r="A542" s="161">
        <f t="shared" si="13"/>
        <v>180</v>
      </c>
      <c r="B542" s="21">
        <f>-20+180-100</f>
        <v>60</v>
      </c>
      <c r="C542" s="21">
        <v>-15</v>
      </c>
      <c r="D542" s="21">
        <f t="shared" si="12"/>
        <v>45</v>
      </c>
    </row>
    <row r="544" spans="1:4" x14ac:dyDescent="0.2">
      <c r="A544" s="62" t="s">
        <v>1198</v>
      </c>
    </row>
    <row r="546" spans="2:5" x14ac:dyDescent="0.2">
      <c r="E546" s="163" t="s">
        <v>77</v>
      </c>
    </row>
    <row r="551" spans="2:5" x14ac:dyDescent="0.2">
      <c r="B551" s="48" t="s">
        <v>77</v>
      </c>
    </row>
    <row r="554" spans="2:5" x14ac:dyDescent="0.2">
      <c r="E554" s="21">
        <v>65</v>
      </c>
    </row>
    <row r="556" spans="2:5" x14ac:dyDescent="0.2">
      <c r="C556" s="48">
        <v>135</v>
      </c>
      <c r="D556" s="21">
        <v>65</v>
      </c>
    </row>
    <row r="557" spans="2:5" x14ac:dyDescent="0.2">
      <c r="B557" s="21" t="s">
        <v>71</v>
      </c>
      <c r="C557" s="104">
        <v>100</v>
      </c>
    </row>
  </sheetData>
  <pageMargins left="0.7" right="0.7" top="0.75" bottom="0.75" header="0.3" footer="0.3"/>
  <pageSetup paperSize="9" scale="78" orientation="portrait" horizontalDpi="0" verticalDpi="0"/>
  <rowBreaks count="3" manualBreakCount="3">
    <brk id="179" max="16383" man="1"/>
    <brk id="290" max="8" man="1"/>
    <brk id="348" max="8" man="1"/>
  </rowBreaks>
  <colBreaks count="1" manualBreakCount="1">
    <brk id="9" max="1048575" man="1"/>
  </colBreak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0EE111-034F-A645-8D14-41219502B509}">
  <dimension ref="A1:M338"/>
  <sheetViews>
    <sheetView rightToLeft="1" topLeftCell="A235" zoomScale="167" zoomScaleNormal="207" zoomScaleSheetLayoutView="174" workbookViewId="0">
      <selection activeCell="I35" sqref="E35:I54"/>
    </sheetView>
  </sheetViews>
  <sheetFormatPr baseColWidth="10" defaultRowHeight="16" x14ac:dyDescent="0.2"/>
  <sheetData>
    <row r="1" spans="1:8" s="1" customFormat="1" x14ac:dyDescent="0.2">
      <c r="A1" s="61" t="s">
        <v>1536</v>
      </c>
      <c r="B1" s="2"/>
      <c r="C1" s="2"/>
      <c r="D1" s="2"/>
      <c r="E1" s="2"/>
      <c r="F1" s="2"/>
      <c r="G1" s="2"/>
      <c r="H1" s="3">
        <v>45301</v>
      </c>
    </row>
    <row r="3" spans="1:8" x14ac:dyDescent="0.2">
      <c r="A3" s="1" t="s">
        <v>1538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1539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1540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1541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1537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381</v>
      </c>
      <c r="B11" s="1" t="s">
        <v>511</v>
      </c>
      <c r="H11" s="42"/>
    </row>
    <row r="12" spans="1:8" s="1" customFormat="1" x14ac:dyDescent="0.2">
      <c r="A12" s="64"/>
      <c r="B12" s="1" t="s">
        <v>1543</v>
      </c>
      <c r="H12" s="42"/>
    </row>
    <row r="13" spans="1:8" s="1" customFormat="1" x14ac:dyDescent="0.2">
      <c r="A13" s="64"/>
      <c r="B13" s="1" t="s">
        <v>512</v>
      </c>
      <c r="C13" s="1" t="s">
        <v>464</v>
      </c>
      <c r="D13" s="1" t="s">
        <v>1542</v>
      </c>
      <c r="H13" s="42"/>
    </row>
    <row r="14" spans="1:8" s="1" customFormat="1" x14ac:dyDescent="0.2">
      <c r="A14" s="64"/>
      <c r="B14" s="1" t="s">
        <v>513</v>
      </c>
      <c r="C14" s="1" t="s">
        <v>508</v>
      </c>
      <c r="D14" s="1" t="s">
        <v>1544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1545</v>
      </c>
      <c r="H16" s="42"/>
    </row>
    <row r="17" spans="1:8" s="1" customFormat="1" x14ac:dyDescent="0.2">
      <c r="A17" s="64"/>
      <c r="B17" s="1" t="s">
        <v>1546</v>
      </c>
      <c r="H17" s="42"/>
    </row>
    <row r="18" spans="1:8" s="1" customFormat="1" x14ac:dyDescent="0.2">
      <c r="A18" s="64"/>
      <c r="B18" s="1" t="s">
        <v>1547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383</v>
      </c>
      <c r="B20" s="1" t="s">
        <v>514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385</v>
      </c>
      <c r="B22" s="1" t="s">
        <v>509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386</v>
      </c>
      <c r="B24" s="44" t="s">
        <v>515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636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634</v>
      </c>
    </row>
    <row r="28" spans="1:8" s="1" customFormat="1" x14ac:dyDescent="0.2">
      <c r="A28" s="1" t="s">
        <v>533</v>
      </c>
    </row>
    <row r="29" spans="1:8" s="1" customFormat="1" x14ac:dyDescent="0.2">
      <c r="A29" s="1" t="s">
        <v>535</v>
      </c>
    </row>
    <row r="30" spans="1:8" s="1" customFormat="1" x14ac:dyDescent="0.2">
      <c r="A30" s="1" t="s">
        <v>534</v>
      </c>
    </row>
    <row r="31" spans="1:8" s="1" customFormat="1" x14ac:dyDescent="0.2"/>
    <row r="32" spans="1:8" s="1" customFormat="1" x14ac:dyDescent="0.2">
      <c r="A32" s="4" t="s">
        <v>78</v>
      </c>
      <c r="B32" s="1" t="s">
        <v>635</v>
      </c>
    </row>
    <row r="33" spans="1:13" s="1" customFormat="1" x14ac:dyDescent="0.2"/>
    <row r="34" spans="1:13" s="1" customFormat="1" x14ac:dyDescent="0.2">
      <c r="B34" s="21" t="s">
        <v>280</v>
      </c>
      <c r="C34" s="21" t="s">
        <v>280</v>
      </c>
      <c r="D34" s="21" t="s">
        <v>1554</v>
      </c>
    </row>
    <row r="35" spans="1:13" s="1" customFormat="1" x14ac:dyDescent="0.2">
      <c r="B35" s="21" t="s">
        <v>1549</v>
      </c>
      <c r="C35" s="21" t="s">
        <v>1551</v>
      </c>
      <c r="D35" s="21" t="s">
        <v>1555</v>
      </c>
      <c r="I35" s="21" t="s">
        <v>280</v>
      </c>
    </row>
    <row r="36" spans="1:13" s="1" customFormat="1" x14ac:dyDescent="0.2">
      <c r="B36" s="21" t="s">
        <v>1550</v>
      </c>
      <c r="C36" s="21" t="s">
        <v>1552</v>
      </c>
      <c r="D36" s="21" t="s">
        <v>1556</v>
      </c>
      <c r="I36" s="21" t="s">
        <v>213</v>
      </c>
    </row>
    <row r="37" spans="1:13" s="73" customFormat="1" x14ac:dyDescent="0.2">
      <c r="A37" s="81" t="s">
        <v>71</v>
      </c>
      <c r="B37" s="81" t="s">
        <v>1548</v>
      </c>
      <c r="C37" s="81" t="s">
        <v>1553</v>
      </c>
      <c r="D37" s="81" t="s">
        <v>402</v>
      </c>
      <c r="E37" s="32"/>
      <c r="F37" s="32"/>
    </row>
    <row r="38" spans="1:13" s="73" customFormat="1" x14ac:dyDescent="0.2">
      <c r="A38" s="32">
        <v>40</v>
      </c>
      <c r="B38" s="32">
        <f t="shared" ref="B38:B46" si="0">150-A38-80</f>
        <v>30</v>
      </c>
      <c r="C38" s="32">
        <f t="shared" ref="C38:C41" si="1">-(100-A38-45)</f>
        <v>-15</v>
      </c>
      <c r="D38" s="32">
        <f>B38+C38</f>
        <v>15</v>
      </c>
      <c r="E38" s="32"/>
      <c r="F38" s="32"/>
      <c r="K38" s="25" t="s">
        <v>1557</v>
      </c>
    </row>
    <row r="39" spans="1:13" s="73" customFormat="1" x14ac:dyDescent="0.2">
      <c r="A39" s="32">
        <f t="shared" ref="A39:A52" si="2">A38+10</f>
        <v>50</v>
      </c>
      <c r="B39" s="32">
        <f t="shared" si="0"/>
        <v>20</v>
      </c>
      <c r="C39" s="32">
        <f t="shared" si="1"/>
        <v>-5</v>
      </c>
      <c r="D39" s="32">
        <f t="shared" ref="D39:D52" si="3">B39+C39</f>
        <v>15</v>
      </c>
      <c r="E39" s="32"/>
      <c r="F39" s="32"/>
      <c r="K39" s="25" t="s">
        <v>1558</v>
      </c>
      <c r="L39" s="25"/>
      <c r="M39" s="25"/>
    </row>
    <row r="40" spans="1:13" s="73" customFormat="1" x14ac:dyDescent="0.2">
      <c r="A40" s="32">
        <f t="shared" si="2"/>
        <v>60</v>
      </c>
      <c r="B40" s="32">
        <f t="shared" si="0"/>
        <v>10</v>
      </c>
      <c r="C40" s="32">
        <f t="shared" si="1"/>
        <v>5</v>
      </c>
      <c r="D40" s="32">
        <f t="shared" si="3"/>
        <v>15</v>
      </c>
      <c r="E40" s="32"/>
      <c r="F40" s="32"/>
      <c r="K40" s="25" t="s">
        <v>1559</v>
      </c>
      <c r="L40" s="25"/>
      <c r="M40" s="25"/>
    </row>
    <row r="41" spans="1:13" s="73" customFormat="1" x14ac:dyDescent="0.2">
      <c r="A41" s="32">
        <f t="shared" si="2"/>
        <v>70</v>
      </c>
      <c r="B41" s="32">
        <f t="shared" si="0"/>
        <v>0</v>
      </c>
      <c r="C41" s="32">
        <f t="shared" si="1"/>
        <v>15</v>
      </c>
      <c r="D41" s="32">
        <f t="shared" si="3"/>
        <v>15</v>
      </c>
      <c r="E41" s="32"/>
      <c r="F41" s="32"/>
      <c r="K41" s="25" t="s">
        <v>1560</v>
      </c>
      <c r="L41" s="25"/>
      <c r="M41" s="25"/>
    </row>
    <row r="42" spans="1:13" s="73" customFormat="1" x14ac:dyDescent="0.2">
      <c r="A42" s="32">
        <f t="shared" si="2"/>
        <v>80</v>
      </c>
      <c r="B42" s="32">
        <f t="shared" si="0"/>
        <v>-10</v>
      </c>
      <c r="C42" s="32">
        <f>-(100-A42-45)</f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2"/>
        <v>90</v>
      </c>
      <c r="B43" s="32">
        <f t="shared" si="0"/>
        <v>-20</v>
      </c>
      <c r="C43" s="32">
        <f>-(100-90-45)</f>
        <v>35</v>
      </c>
      <c r="D43" s="32">
        <f t="shared" si="3"/>
        <v>15</v>
      </c>
      <c r="E43" s="32"/>
      <c r="F43" s="32"/>
      <c r="K43" s="25"/>
      <c r="L43" s="25"/>
      <c r="M43" s="25" t="s">
        <v>1562</v>
      </c>
    </row>
    <row r="44" spans="1:13" s="73" customFormat="1" x14ac:dyDescent="0.2">
      <c r="A44" s="202">
        <f t="shared" si="2"/>
        <v>100</v>
      </c>
      <c r="B44" s="32">
        <f t="shared" si="0"/>
        <v>-30</v>
      </c>
      <c r="C44" s="32">
        <f>-(-45)</f>
        <v>45</v>
      </c>
      <c r="D44" s="32">
        <f t="shared" si="3"/>
        <v>15</v>
      </c>
      <c r="E44" s="32"/>
      <c r="F44" s="32"/>
      <c r="K44" s="25"/>
      <c r="L44" s="25">
        <v>70</v>
      </c>
      <c r="M44" s="229" t="s">
        <v>1561</v>
      </c>
    </row>
    <row r="45" spans="1:13" s="73" customFormat="1" x14ac:dyDescent="0.2">
      <c r="A45" s="32">
        <f t="shared" si="2"/>
        <v>110</v>
      </c>
      <c r="B45" s="32">
        <f t="shared" si="0"/>
        <v>-40</v>
      </c>
      <c r="C45" s="32">
        <f>C44</f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2"/>
        <v>120</v>
      </c>
      <c r="B46" s="32">
        <f t="shared" si="0"/>
        <v>-50</v>
      </c>
      <c r="C46" s="32">
        <f t="shared" ref="C46:C52" si="4">C45</f>
        <v>45</v>
      </c>
      <c r="D46" s="32">
        <f t="shared" si="3"/>
        <v>-5</v>
      </c>
      <c r="E46" s="32"/>
      <c r="F46" s="32"/>
      <c r="K46" s="25"/>
      <c r="L46" s="25"/>
      <c r="M46" s="25" t="s">
        <v>1563</v>
      </c>
    </row>
    <row r="47" spans="1:13" s="73" customFormat="1" x14ac:dyDescent="0.2">
      <c r="A47" s="32">
        <f t="shared" si="2"/>
        <v>130</v>
      </c>
      <c r="B47" s="32">
        <f>150-A47-80</f>
        <v>-60</v>
      </c>
      <c r="C47" s="32">
        <f t="shared" si="4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9" t="s">
        <v>1564</v>
      </c>
    </row>
    <row r="48" spans="1:13" s="73" customFormat="1" x14ac:dyDescent="0.2">
      <c r="A48" s="32">
        <f t="shared" si="2"/>
        <v>140</v>
      </c>
      <c r="B48" s="32">
        <f>150-140-80</f>
        <v>-70</v>
      </c>
      <c r="C48" s="32">
        <f t="shared" si="4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2"/>
        <v>150</v>
      </c>
      <c r="B49" s="32">
        <v>-80</v>
      </c>
      <c r="C49" s="32">
        <f t="shared" si="4"/>
        <v>45</v>
      </c>
      <c r="D49" s="32">
        <f t="shared" si="3"/>
        <v>-35</v>
      </c>
      <c r="E49" s="32"/>
      <c r="F49" s="32"/>
      <c r="K49" s="25"/>
      <c r="L49" s="25"/>
      <c r="M49" s="25" t="s">
        <v>1565</v>
      </c>
    </row>
    <row r="50" spans="1:13" s="73" customFormat="1" x14ac:dyDescent="0.2">
      <c r="A50" s="32">
        <f t="shared" si="2"/>
        <v>160</v>
      </c>
      <c r="B50" s="32">
        <v>-80</v>
      </c>
      <c r="C50" s="32">
        <f t="shared" si="4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1566</v>
      </c>
    </row>
    <row r="51" spans="1:13" s="73" customFormat="1" x14ac:dyDescent="0.2">
      <c r="A51" s="32">
        <f t="shared" si="2"/>
        <v>170</v>
      </c>
      <c r="B51" s="32">
        <v>-80</v>
      </c>
      <c r="C51" s="32">
        <f t="shared" si="4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2"/>
        <v>180</v>
      </c>
      <c r="B52" s="32">
        <v>-80</v>
      </c>
      <c r="C52" s="32">
        <f t="shared" si="4"/>
        <v>45</v>
      </c>
      <c r="D52" s="32">
        <f t="shared" si="3"/>
        <v>-35</v>
      </c>
      <c r="E52" s="32"/>
      <c r="F52" s="32"/>
      <c r="K52" s="25" t="s">
        <v>1567</v>
      </c>
      <c r="L52" s="25"/>
      <c r="M52" s="25"/>
    </row>
    <row r="53" spans="1:13" s="1" customFormat="1" x14ac:dyDescent="0.2">
      <c r="K53" s="1" t="s">
        <v>1568</v>
      </c>
    </row>
    <row r="54" spans="1:13" s="1" customFormat="1" x14ac:dyDescent="0.2">
      <c r="A54" s="4" t="s">
        <v>585</v>
      </c>
      <c r="K54" s="1" t="s">
        <v>1569</v>
      </c>
    </row>
    <row r="55" spans="1:13" s="1" customFormat="1" x14ac:dyDescent="0.2">
      <c r="K55" s="1" t="s">
        <v>1570</v>
      </c>
    </row>
    <row r="56" spans="1:13" s="1" customFormat="1" x14ac:dyDescent="0.2">
      <c r="K56" s="1" t="s">
        <v>1571</v>
      </c>
    </row>
    <row r="57" spans="1:13" s="1" customFormat="1" x14ac:dyDescent="0.2"/>
    <row r="58" spans="1:13" s="1" customFormat="1" x14ac:dyDescent="0.2">
      <c r="G58" s="1" t="s">
        <v>1576</v>
      </c>
      <c r="K58" s="1" t="s">
        <v>1572</v>
      </c>
    </row>
    <row r="59" spans="1:13" s="1" customFormat="1" x14ac:dyDescent="0.2">
      <c r="G59" s="1" t="s">
        <v>1577</v>
      </c>
      <c r="K59" s="1" t="s">
        <v>1573</v>
      </c>
    </row>
    <row r="60" spans="1:13" s="1" customFormat="1" x14ac:dyDescent="0.2">
      <c r="G60" s="1" t="s">
        <v>1578</v>
      </c>
      <c r="K60" s="1" t="s">
        <v>1574</v>
      </c>
    </row>
    <row r="61" spans="1:13" s="1" customFormat="1" x14ac:dyDescent="0.2">
      <c r="G61" s="1" t="s">
        <v>1579</v>
      </c>
      <c r="K61" s="1" t="s">
        <v>1575</v>
      </c>
    </row>
    <row r="62" spans="1:13" s="1" customFormat="1" x14ac:dyDescent="0.2">
      <c r="G62" s="1" t="s">
        <v>1580</v>
      </c>
    </row>
    <row r="63" spans="1:13" s="1" customFormat="1" x14ac:dyDescent="0.2">
      <c r="G63" s="1" t="s">
        <v>1581</v>
      </c>
    </row>
    <row r="64" spans="1:13" s="1" customFormat="1" x14ac:dyDescent="0.2">
      <c r="H64" s="1" t="s">
        <v>1582</v>
      </c>
    </row>
    <row r="65" spans="1:11" s="1" customFormat="1" x14ac:dyDescent="0.2">
      <c r="H65" s="1" t="s">
        <v>1583</v>
      </c>
    </row>
    <row r="66" spans="1:11" s="1" customFormat="1" x14ac:dyDescent="0.2"/>
    <row r="67" spans="1:11" s="1" customFormat="1" x14ac:dyDescent="0.2"/>
    <row r="68" spans="1:11" s="1" customFormat="1" x14ac:dyDescent="0.2"/>
    <row r="69" spans="1:11" s="1" customFormat="1" x14ac:dyDescent="0.2">
      <c r="A69" s="4"/>
    </row>
    <row r="70" spans="1:11" s="1" customFormat="1" x14ac:dyDescent="0.2"/>
    <row r="71" spans="1:11" s="1" customFormat="1" ht="17" thickBot="1" x14ac:dyDescent="0.25"/>
    <row r="72" spans="1:11" s="1" customFormat="1" ht="17" thickBot="1" x14ac:dyDescent="0.25">
      <c r="A72" s="50" t="s">
        <v>637</v>
      </c>
      <c r="B72" s="51"/>
      <c r="C72" s="51"/>
      <c r="D72" s="51"/>
      <c r="E72" s="51"/>
      <c r="F72" s="51"/>
      <c r="G72" s="51"/>
      <c r="H72" s="52"/>
    </row>
    <row r="73" spans="1:11" s="1" customFormat="1" x14ac:dyDescent="0.2">
      <c r="A73" s="1" t="s">
        <v>539</v>
      </c>
    </row>
    <row r="74" spans="1:11" s="1" customFormat="1" x14ac:dyDescent="0.2"/>
    <row r="75" spans="1:11" s="1" customFormat="1" x14ac:dyDescent="0.2">
      <c r="C75" s="21" t="s">
        <v>389</v>
      </c>
      <c r="D75" s="21" t="s">
        <v>538</v>
      </c>
    </row>
    <row r="76" spans="1:11" s="1" customFormat="1" x14ac:dyDescent="0.2">
      <c r="C76" s="21" t="s">
        <v>536</v>
      </c>
      <c r="D76" s="21">
        <v>10</v>
      </c>
    </row>
    <row r="77" spans="1:11" s="1" customFormat="1" x14ac:dyDescent="0.2">
      <c r="C77" s="21" t="s">
        <v>537</v>
      </c>
      <c r="D77" s="21">
        <v>30</v>
      </c>
    </row>
    <row r="78" spans="1:11" s="1" customFormat="1" x14ac:dyDescent="0.2"/>
    <row r="79" spans="1:11" s="1" customFormat="1" x14ac:dyDescent="0.2">
      <c r="A79" s="1" t="s">
        <v>540</v>
      </c>
      <c r="K79" s="1" t="s">
        <v>280</v>
      </c>
    </row>
    <row r="80" spans="1:11" s="1" customFormat="1" x14ac:dyDescent="0.2">
      <c r="A80" s="1" t="s">
        <v>534</v>
      </c>
      <c r="K80" s="1" t="s">
        <v>1588</v>
      </c>
    </row>
    <row r="81" spans="1:6" s="1" customFormat="1" x14ac:dyDescent="0.2"/>
    <row r="82" spans="1:6" s="1" customFormat="1" x14ac:dyDescent="0.2">
      <c r="A82" s="4" t="s">
        <v>78</v>
      </c>
    </row>
    <row r="83" spans="1:6" s="1" customFormat="1" x14ac:dyDescent="0.2">
      <c r="A83" s="4"/>
      <c r="B83" s="21" t="s">
        <v>698</v>
      </c>
      <c r="C83" s="21" t="s">
        <v>1586</v>
      </c>
      <c r="D83" s="21" t="s">
        <v>1587</v>
      </c>
    </row>
    <row r="84" spans="1:6" s="1" customFormat="1" x14ac:dyDescent="0.2">
      <c r="B84" s="21" t="s">
        <v>280</v>
      </c>
      <c r="C84" s="21" t="s">
        <v>280</v>
      </c>
      <c r="D84" s="21" t="s">
        <v>280</v>
      </c>
    </row>
    <row r="85" spans="1:6" s="1" customFormat="1" x14ac:dyDescent="0.2">
      <c r="A85" s="81" t="s">
        <v>71</v>
      </c>
      <c r="B85" s="81" t="s">
        <v>1584</v>
      </c>
      <c r="C85" s="81" t="s">
        <v>1585</v>
      </c>
      <c r="D85" s="81" t="s">
        <v>1341</v>
      </c>
      <c r="E85" s="32"/>
      <c r="F85" s="32"/>
    </row>
    <row r="86" spans="1:6" s="1" customFormat="1" x14ac:dyDescent="0.2">
      <c r="A86" s="82">
        <v>40</v>
      </c>
      <c r="B86" s="32">
        <f>120-A86-30</f>
        <v>50</v>
      </c>
      <c r="C86" s="32">
        <f>-(70-A86-10)</f>
        <v>-20</v>
      </c>
      <c r="D86" s="32">
        <f>B86+C86</f>
        <v>30</v>
      </c>
      <c r="E86" s="32"/>
      <c r="F86" s="32"/>
    </row>
    <row r="87" spans="1:6" s="1" customFormat="1" x14ac:dyDescent="0.2">
      <c r="A87" s="82">
        <f t="shared" ref="A87:A97" si="5">A86+10</f>
        <v>50</v>
      </c>
      <c r="B87" s="32">
        <f t="shared" ref="B87:B93" si="6">120-A87-30</f>
        <v>40</v>
      </c>
      <c r="C87" s="32">
        <f t="shared" ref="C87:C88" si="7">-(70-A87-10)</f>
        <v>-10</v>
      </c>
      <c r="D87" s="32">
        <f t="shared" ref="D87:D97" si="8">B87+C87</f>
        <v>30</v>
      </c>
      <c r="E87" s="32"/>
      <c r="F87" s="32"/>
    </row>
    <row r="88" spans="1:6" s="1" customFormat="1" x14ac:dyDescent="0.2">
      <c r="A88" s="82">
        <f t="shared" si="5"/>
        <v>60</v>
      </c>
      <c r="B88" s="32">
        <f t="shared" si="6"/>
        <v>30</v>
      </c>
      <c r="C88" s="32">
        <f t="shared" si="7"/>
        <v>0</v>
      </c>
      <c r="D88" s="32">
        <f t="shared" si="8"/>
        <v>30</v>
      </c>
      <c r="E88" s="32"/>
      <c r="F88" s="32"/>
    </row>
    <row r="89" spans="1:6" s="1" customFormat="1" x14ac:dyDescent="0.2">
      <c r="A89" s="82">
        <f t="shared" si="5"/>
        <v>70</v>
      </c>
      <c r="B89" s="32">
        <f t="shared" si="6"/>
        <v>20</v>
      </c>
      <c r="C89" s="32">
        <f>-(-10)</f>
        <v>10</v>
      </c>
      <c r="D89" s="32">
        <f t="shared" si="8"/>
        <v>30</v>
      </c>
      <c r="E89" s="32"/>
      <c r="F89" s="32"/>
    </row>
    <row r="90" spans="1:6" s="1" customFormat="1" x14ac:dyDescent="0.2">
      <c r="A90" s="32">
        <f t="shared" si="5"/>
        <v>80</v>
      </c>
      <c r="B90" s="32">
        <f t="shared" si="6"/>
        <v>10</v>
      </c>
      <c r="C90" s="32">
        <f>-(-10)</f>
        <v>10</v>
      </c>
      <c r="D90" s="32">
        <f t="shared" si="8"/>
        <v>20</v>
      </c>
      <c r="E90" s="32"/>
      <c r="F90" s="32"/>
    </row>
    <row r="91" spans="1:6" s="1" customFormat="1" x14ac:dyDescent="0.2">
      <c r="A91" s="32">
        <f t="shared" si="5"/>
        <v>90</v>
      </c>
      <c r="B91" s="32">
        <f t="shared" si="6"/>
        <v>0</v>
      </c>
      <c r="C91" s="32">
        <f t="shared" ref="C91:C97" si="9">-(-10)</f>
        <v>10</v>
      </c>
      <c r="D91" s="32">
        <f t="shared" si="8"/>
        <v>10</v>
      </c>
      <c r="E91" s="32"/>
      <c r="F91" s="32"/>
    </row>
    <row r="92" spans="1:6" s="1" customFormat="1" x14ac:dyDescent="0.2">
      <c r="A92" s="32">
        <f t="shared" si="5"/>
        <v>100</v>
      </c>
      <c r="B92" s="32">
        <f t="shared" si="6"/>
        <v>-10</v>
      </c>
      <c r="C92" s="32">
        <f t="shared" si="9"/>
        <v>10</v>
      </c>
      <c r="D92" s="32">
        <f t="shared" si="8"/>
        <v>0</v>
      </c>
      <c r="E92" s="32"/>
      <c r="F92" s="32" t="s">
        <v>71</v>
      </c>
    </row>
    <row r="93" spans="1:6" s="1" customFormat="1" x14ac:dyDescent="0.2">
      <c r="A93" s="32">
        <f t="shared" si="5"/>
        <v>110</v>
      </c>
      <c r="B93" s="32">
        <f t="shared" si="6"/>
        <v>-20</v>
      </c>
      <c r="C93" s="32">
        <f t="shared" si="9"/>
        <v>10</v>
      </c>
      <c r="D93" s="32">
        <f t="shared" si="8"/>
        <v>-10</v>
      </c>
      <c r="E93" s="32"/>
      <c r="F93" s="32" t="s">
        <v>1589</v>
      </c>
    </row>
    <row r="94" spans="1:6" s="1" customFormat="1" x14ac:dyDescent="0.2">
      <c r="A94" s="32">
        <f t="shared" si="5"/>
        <v>120</v>
      </c>
      <c r="B94" s="32">
        <f>-30</f>
        <v>-30</v>
      </c>
      <c r="C94" s="32">
        <f t="shared" si="9"/>
        <v>10</v>
      </c>
      <c r="D94" s="32">
        <f t="shared" si="8"/>
        <v>-20</v>
      </c>
      <c r="E94" s="32"/>
      <c r="F94" s="32"/>
    </row>
    <row r="95" spans="1:6" s="1" customFormat="1" x14ac:dyDescent="0.2">
      <c r="A95" s="32">
        <f t="shared" si="5"/>
        <v>130</v>
      </c>
      <c r="B95" s="32">
        <f t="shared" ref="B95:B97" si="10">-30</f>
        <v>-30</v>
      </c>
      <c r="C95" s="32">
        <f t="shared" si="9"/>
        <v>10</v>
      </c>
      <c r="D95" s="32">
        <f t="shared" si="8"/>
        <v>-20</v>
      </c>
      <c r="E95" s="32"/>
      <c r="F95" s="32"/>
    </row>
    <row r="96" spans="1:6" s="1" customFormat="1" x14ac:dyDescent="0.2">
      <c r="A96" s="32">
        <f t="shared" si="5"/>
        <v>140</v>
      </c>
      <c r="B96" s="32">
        <f t="shared" si="10"/>
        <v>-30</v>
      </c>
      <c r="C96" s="32">
        <f t="shared" si="9"/>
        <v>10</v>
      </c>
      <c r="D96" s="32">
        <f t="shared" si="8"/>
        <v>-20</v>
      </c>
      <c r="E96" s="32"/>
      <c r="F96" s="32"/>
    </row>
    <row r="97" spans="1:7" s="1" customFormat="1" x14ac:dyDescent="0.2">
      <c r="A97" s="32">
        <f t="shared" si="5"/>
        <v>150</v>
      </c>
      <c r="B97" s="32">
        <f t="shared" si="10"/>
        <v>-30</v>
      </c>
      <c r="C97" s="32">
        <f t="shared" si="9"/>
        <v>10</v>
      </c>
      <c r="D97" s="32">
        <f t="shared" si="8"/>
        <v>-20</v>
      </c>
      <c r="E97" s="32"/>
      <c r="F97" s="32"/>
    </row>
    <row r="98" spans="1:7" s="1" customFormat="1" x14ac:dyDescent="0.2"/>
    <row r="99" spans="1:7" s="1" customFormat="1" x14ac:dyDescent="0.2">
      <c r="A99" s="4" t="s">
        <v>585</v>
      </c>
    </row>
    <row r="100" spans="1:7" s="1" customFormat="1" x14ac:dyDescent="0.2"/>
    <row r="101" spans="1:7" s="1" customFormat="1" x14ac:dyDescent="0.2"/>
    <row r="102" spans="1:7" s="1" customFormat="1" x14ac:dyDescent="0.2">
      <c r="F102" s="1" t="s">
        <v>1590</v>
      </c>
    </row>
    <row r="103" spans="1:7" s="1" customFormat="1" x14ac:dyDescent="0.2">
      <c r="F103" s="1" t="s">
        <v>1591</v>
      </c>
      <c r="G103" s="1" t="s">
        <v>1592</v>
      </c>
    </row>
    <row r="104" spans="1:7" s="1" customFormat="1" x14ac:dyDescent="0.2">
      <c r="G104" s="1" t="s">
        <v>1593</v>
      </c>
    </row>
    <row r="105" spans="1:7" s="1" customFormat="1" x14ac:dyDescent="0.2">
      <c r="G105" s="1" t="s">
        <v>1594</v>
      </c>
    </row>
    <row r="106" spans="1:7" s="1" customFormat="1" x14ac:dyDescent="0.2">
      <c r="F106" s="1" t="s">
        <v>1595</v>
      </c>
      <c r="G106" s="1" t="s">
        <v>1596</v>
      </c>
    </row>
    <row r="107" spans="1:7" s="1" customFormat="1" x14ac:dyDescent="0.2">
      <c r="G107" s="1" t="s">
        <v>1597</v>
      </c>
    </row>
    <row r="108" spans="1:7" s="1" customFormat="1" x14ac:dyDescent="0.2">
      <c r="F108" s="1" t="s">
        <v>1598</v>
      </c>
      <c r="G108" s="1" t="s">
        <v>1599</v>
      </c>
    </row>
    <row r="109" spans="1:7" s="1" customFormat="1" x14ac:dyDescent="0.2">
      <c r="G109" s="1" t="s">
        <v>1600</v>
      </c>
    </row>
    <row r="110" spans="1:7" s="1" customFormat="1" x14ac:dyDescent="0.2">
      <c r="A110" s="4"/>
      <c r="F110" s="1" t="s">
        <v>1601</v>
      </c>
      <c r="G110" s="1" t="s">
        <v>1602</v>
      </c>
    </row>
    <row r="111" spans="1:7" s="1" customFormat="1" x14ac:dyDescent="0.2">
      <c r="G111" s="1" t="s">
        <v>1603</v>
      </c>
    </row>
    <row r="112" spans="1:7" s="1" customFormat="1" x14ac:dyDescent="0.2">
      <c r="G112" s="1" t="s">
        <v>1604</v>
      </c>
    </row>
    <row r="113" spans="1:8" s="1" customFormat="1" x14ac:dyDescent="0.2"/>
    <row r="114" spans="1:8" s="1" customFormat="1" ht="17" thickBot="1" x14ac:dyDescent="0.25"/>
    <row r="115" spans="1:8" s="1" customFormat="1" ht="17" thickBot="1" x14ac:dyDescent="0.25">
      <c r="A115" s="50" t="s">
        <v>641</v>
      </c>
      <c r="B115" s="51"/>
      <c r="C115" s="51"/>
      <c r="D115" s="51"/>
      <c r="E115" s="51"/>
      <c r="F115" s="51"/>
      <c r="G115" s="51"/>
      <c r="H115" s="52"/>
    </row>
    <row r="116" spans="1:8" s="1" customFormat="1" x14ac:dyDescent="0.2"/>
    <row r="117" spans="1:8" s="1" customFormat="1" x14ac:dyDescent="0.2">
      <c r="A117" s="1" t="s">
        <v>539</v>
      </c>
    </row>
    <row r="118" spans="1:8" s="1" customFormat="1" x14ac:dyDescent="0.2"/>
    <row r="119" spans="1:8" s="1" customFormat="1" x14ac:dyDescent="0.2">
      <c r="C119" s="21" t="s">
        <v>389</v>
      </c>
      <c r="D119" s="21" t="s">
        <v>538</v>
      </c>
    </row>
    <row r="120" spans="1:8" s="1" customFormat="1" x14ac:dyDescent="0.2">
      <c r="C120" s="21" t="s">
        <v>644</v>
      </c>
      <c r="D120" s="21">
        <v>10</v>
      </c>
    </row>
    <row r="121" spans="1:8" s="1" customFormat="1" x14ac:dyDescent="0.2">
      <c r="C121" s="21" t="s">
        <v>646</v>
      </c>
      <c r="D121" s="21">
        <v>25</v>
      </c>
    </row>
    <row r="122" spans="1:8" s="1" customFormat="1" x14ac:dyDescent="0.2">
      <c r="C122" s="21" t="s">
        <v>645</v>
      </c>
      <c r="D122" s="21">
        <v>30</v>
      </c>
    </row>
    <row r="123" spans="1:8" s="1" customFormat="1" x14ac:dyDescent="0.2">
      <c r="C123" s="21" t="s">
        <v>526</v>
      </c>
      <c r="D123" s="21">
        <v>8</v>
      </c>
    </row>
    <row r="124" spans="1:8" s="1" customFormat="1" x14ac:dyDescent="0.2"/>
    <row r="125" spans="1:8" s="1" customFormat="1" x14ac:dyDescent="0.2">
      <c r="A125" s="1" t="s">
        <v>651</v>
      </c>
    </row>
    <row r="126" spans="1:8" s="1" customFormat="1" x14ac:dyDescent="0.2">
      <c r="A126" s="1" t="s">
        <v>534</v>
      </c>
    </row>
    <row r="127" spans="1:8" s="1" customFormat="1" x14ac:dyDescent="0.2"/>
    <row r="128" spans="1:8" s="1" customFormat="1" x14ac:dyDescent="0.2">
      <c r="A128" s="4" t="s">
        <v>78</v>
      </c>
    </row>
    <row r="129" spans="1:6" s="1" customFormat="1" x14ac:dyDescent="0.2"/>
    <row r="130" spans="1:6" s="1" customFormat="1" x14ac:dyDescent="0.2">
      <c r="A130" s="81" t="s">
        <v>71</v>
      </c>
      <c r="B130" s="81" t="s">
        <v>647</v>
      </c>
      <c r="C130" s="81" t="s">
        <v>648</v>
      </c>
      <c r="D130" s="81" t="s">
        <v>649</v>
      </c>
      <c r="E130" s="81" t="s">
        <v>650</v>
      </c>
      <c r="F130" s="81" t="s">
        <v>402</v>
      </c>
    </row>
    <row r="131" spans="1:6" s="1" customFormat="1" x14ac:dyDescent="0.2">
      <c r="A131" s="32">
        <v>50</v>
      </c>
      <c r="B131" s="32">
        <f>130-A131</f>
        <v>80</v>
      </c>
      <c r="C131" s="32">
        <f>-(85-A131)</f>
        <v>-35</v>
      </c>
      <c r="D131" s="32">
        <f>B131-30</f>
        <v>50</v>
      </c>
      <c r="E131" s="32">
        <f>C131+10</f>
        <v>-25</v>
      </c>
      <c r="F131" s="32">
        <f t="shared" ref="F131:F141" si="11">D131+E131</f>
        <v>25</v>
      </c>
    </row>
    <row r="132" spans="1:6" s="1" customFormat="1" x14ac:dyDescent="0.2">
      <c r="A132" s="32">
        <f t="shared" ref="A132:A141" si="12">A131+10</f>
        <v>60</v>
      </c>
      <c r="B132" s="32">
        <f t="shared" ref="B132:B138" si="13">130-A132</f>
        <v>70</v>
      </c>
      <c r="C132" s="32">
        <f t="shared" ref="C132:C134" si="14">-(85-A132)</f>
        <v>-25</v>
      </c>
      <c r="D132" s="32">
        <f t="shared" ref="D132:D141" si="15">B132-30</f>
        <v>40</v>
      </c>
      <c r="E132" s="32">
        <f t="shared" ref="E132:E141" si="16">C132+10</f>
        <v>-15</v>
      </c>
      <c r="F132" s="32">
        <f t="shared" si="11"/>
        <v>25</v>
      </c>
    </row>
    <row r="133" spans="1:6" s="1" customFormat="1" x14ac:dyDescent="0.2">
      <c r="A133" s="32">
        <f t="shared" si="12"/>
        <v>70</v>
      </c>
      <c r="B133" s="32">
        <f t="shared" si="13"/>
        <v>60</v>
      </c>
      <c r="C133" s="32">
        <f t="shared" si="14"/>
        <v>-15</v>
      </c>
      <c r="D133" s="32">
        <f t="shared" si="15"/>
        <v>30</v>
      </c>
      <c r="E133" s="32">
        <f>C133+10</f>
        <v>-5</v>
      </c>
      <c r="F133" s="32">
        <f t="shared" si="11"/>
        <v>25</v>
      </c>
    </row>
    <row r="134" spans="1:6" s="1" customFormat="1" x14ac:dyDescent="0.2">
      <c r="A134" s="32">
        <f t="shared" si="12"/>
        <v>80</v>
      </c>
      <c r="B134" s="32">
        <f t="shared" si="13"/>
        <v>50</v>
      </c>
      <c r="C134" s="32">
        <f t="shared" si="14"/>
        <v>-5</v>
      </c>
      <c r="D134" s="32">
        <f t="shared" si="15"/>
        <v>20</v>
      </c>
      <c r="E134" s="32">
        <f>C134+10</f>
        <v>5</v>
      </c>
      <c r="F134" s="32">
        <f t="shared" si="11"/>
        <v>25</v>
      </c>
    </row>
    <row r="135" spans="1:6" s="1" customFormat="1" x14ac:dyDescent="0.2">
      <c r="A135" s="32">
        <f t="shared" si="12"/>
        <v>90</v>
      </c>
      <c r="B135" s="32">
        <f t="shared" si="13"/>
        <v>40</v>
      </c>
      <c r="C135" s="32">
        <v>0</v>
      </c>
      <c r="D135" s="32">
        <f t="shared" si="15"/>
        <v>10</v>
      </c>
      <c r="E135" s="32">
        <f>C135+10</f>
        <v>10</v>
      </c>
      <c r="F135" s="32">
        <f t="shared" si="11"/>
        <v>20</v>
      </c>
    </row>
    <row r="136" spans="1:6" s="1" customFormat="1" x14ac:dyDescent="0.2">
      <c r="A136" s="32">
        <f t="shared" si="12"/>
        <v>100</v>
      </c>
      <c r="B136" s="32">
        <f t="shared" si="13"/>
        <v>30</v>
      </c>
      <c r="C136" s="32">
        <v>0</v>
      </c>
      <c r="D136" s="32">
        <f t="shared" si="15"/>
        <v>0</v>
      </c>
      <c r="E136" s="32">
        <f t="shared" si="16"/>
        <v>10</v>
      </c>
      <c r="F136" s="32">
        <f t="shared" si="11"/>
        <v>10</v>
      </c>
    </row>
    <row r="137" spans="1:6" s="1" customFormat="1" x14ac:dyDescent="0.2">
      <c r="A137" s="32">
        <f t="shared" si="12"/>
        <v>110</v>
      </c>
      <c r="B137" s="32">
        <f t="shared" si="13"/>
        <v>20</v>
      </c>
      <c r="C137" s="32">
        <v>0</v>
      </c>
      <c r="D137" s="32">
        <f>B137-30</f>
        <v>-10</v>
      </c>
      <c r="E137" s="32">
        <f t="shared" si="16"/>
        <v>10</v>
      </c>
      <c r="F137" s="32">
        <f t="shared" si="11"/>
        <v>0</v>
      </c>
    </row>
    <row r="138" spans="1:6" s="1" customFormat="1" x14ac:dyDescent="0.2">
      <c r="A138" s="32">
        <f t="shared" si="12"/>
        <v>120</v>
      </c>
      <c r="B138" s="32">
        <f t="shared" si="13"/>
        <v>10</v>
      </c>
      <c r="C138" s="32">
        <v>0</v>
      </c>
      <c r="D138" s="32">
        <f t="shared" si="15"/>
        <v>-20</v>
      </c>
      <c r="E138" s="32">
        <f t="shared" si="16"/>
        <v>10</v>
      </c>
      <c r="F138" s="32">
        <f t="shared" si="11"/>
        <v>-10</v>
      </c>
    </row>
    <row r="139" spans="1:6" s="1" customFormat="1" x14ac:dyDescent="0.2">
      <c r="A139" s="32">
        <f t="shared" si="12"/>
        <v>130</v>
      </c>
      <c r="B139" s="32">
        <v>0</v>
      </c>
      <c r="C139" s="32">
        <v>0</v>
      </c>
      <c r="D139" s="32">
        <f t="shared" si="15"/>
        <v>-30</v>
      </c>
      <c r="E139" s="32">
        <f t="shared" si="16"/>
        <v>10</v>
      </c>
      <c r="F139" s="32">
        <f t="shared" si="11"/>
        <v>-20</v>
      </c>
    </row>
    <row r="140" spans="1:6" s="1" customFormat="1" x14ac:dyDescent="0.2">
      <c r="A140" s="32">
        <f t="shared" si="12"/>
        <v>140</v>
      </c>
      <c r="B140" s="32">
        <v>0</v>
      </c>
      <c r="C140" s="32">
        <v>0</v>
      </c>
      <c r="D140" s="32">
        <f t="shared" si="15"/>
        <v>-30</v>
      </c>
      <c r="E140" s="32">
        <f t="shared" si="16"/>
        <v>10</v>
      </c>
      <c r="F140" s="32">
        <f t="shared" si="11"/>
        <v>-20</v>
      </c>
    </row>
    <row r="141" spans="1:6" s="1" customFormat="1" x14ac:dyDescent="0.2">
      <c r="A141" s="32">
        <f t="shared" si="12"/>
        <v>150</v>
      </c>
      <c r="B141" s="32">
        <v>0</v>
      </c>
      <c r="C141" s="32">
        <v>0</v>
      </c>
      <c r="D141" s="32">
        <f t="shared" si="15"/>
        <v>-30</v>
      </c>
      <c r="E141" s="32">
        <f t="shared" si="16"/>
        <v>10</v>
      </c>
      <c r="F141" s="32">
        <f t="shared" si="11"/>
        <v>-20</v>
      </c>
    </row>
    <row r="142" spans="1:6" s="1" customFormat="1" x14ac:dyDescent="0.2"/>
    <row r="143" spans="1:6" s="1" customFormat="1" x14ac:dyDescent="0.2">
      <c r="A143" s="4" t="s">
        <v>585</v>
      </c>
    </row>
    <row r="144" spans="1:6" s="1" customFormat="1" x14ac:dyDescent="0.2"/>
    <row r="145" spans="1:8" s="1" customFormat="1" x14ac:dyDescent="0.2">
      <c r="G145" s="1" t="s">
        <v>638</v>
      </c>
    </row>
    <row r="146" spans="1:8" x14ac:dyDescent="0.2">
      <c r="A146" s="1"/>
      <c r="B146" s="1"/>
      <c r="C146" s="1"/>
      <c r="D146" s="1"/>
      <c r="E146" s="1"/>
      <c r="F146" s="1"/>
      <c r="G146" s="1" t="s">
        <v>652</v>
      </c>
      <c r="H146" s="1"/>
    </row>
    <row r="147" spans="1:8" x14ac:dyDescent="0.2">
      <c r="A147" s="1"/>
      <c r="B147" s="1"/>
      <c r="C147" s="1"/>
      <c r="D147" s="1"/>
      <c r="E147" s="1"/>
      <c r="F147" s="1"/>
      <c r="G147" s="1"/>
      <c r="H147" s="1"/>
    </row>
    <row r="148" spans="1:8" x14ac:dyDescent="0.2">
      <c r="A148" s="1"/>
      <c r="B148" s="1"/>
      <c r="C148" s="1"/>
      <c r="D148" s="1"/>
      <c r="E148" s="1"/>
      <c r="F148" s="1"/>
      <c r="G148" s="1" t="s">
        <v>639</v>
      </c>
      <c r="H148" s="1"/>
    </row>
    <row r="149" spans="1:8" x14ac:dyDescent="0.2">
      <c r="A149" s="1"/>
      <c r="B149" s="1"/>
      <c r="C149" s="1"/>
      <c r="D149" s="1"/>
      <c r="E149" s="1"/>
      <c r="F149" s="1"/>
      <c r="G149" s="1" t="s">
        <v>653</v>
      </c>
      <c r="H149" s="1"/>
    </row>
    <row r="150" spans="1:8" x14ac:dyDescent="0.2">
      <c r="A150" s="1"/>
      <c r="B150" s="1"/>
      <c r="C150" s="1"/>
      <c r="D150" s="1"/>
      <c r="E150" s="1"/>
      <c r="F150" s="1"/>
      <c r="G150" s="1"/>
      <c r="H150" s="1"/>
    </row>
    <row r="151" spans="1:8" x14ac:dyDescent="0.2">
      <c r="A151" s="1"/>
      <c r="B151" s="1"/>
      <c r="C151" s="1"/>
      <c r="D151" s="1"/>
      <c r="E151" s="1"/>
      <c r="F151" s="1"/>
      <c r="G151" s="1" t="s">
        <v>640</v>
      </c>
      <c r="H151" s="1"/>
    </row>
    <row r="152" spans="1:8" x14ac:dyDescent="0.2">
      <c r="A152" s="1"/>
      <c r="B152" s="1"/>
      <c r="C152" s="1"/>
      <c r="D152" s="1"/>
      <c r="E152" s="1"/>
      <c r="F152" s="1"/>
      <c r="G152" s="1"/>
      <c r="H152" s="1"/>
    </row>
    <row r="153" spans="1:8" x14ac:dyDescent="0.2">
      <c r="A153" s="1"/>
      <c r="B153" s="1"/>
      <c r="C153" s="1"/>
      <c r="D153" s="1"/>
      <c r="E153" s="1"/>
      <c r="F153" s="1"/>
      <c r="G153" s="1"/>
      <c r="H153" s="1"/>
    </row>
    <row r="154" spans="1:8" x14ac:dyDescent="0.2">
      <c r="A154" s="4"/>
      <c r="B154" s="1"/>
      <c r="C154" s="1"/>
      <c r="D154" s="1"/>
      <c r="E154" s="1"/>
      <c r="F154" s="1"/>
      <c r="G154" s="1"/>
      <c r="H154" s="1"/>
    </row>
    <row r="155" spans="1:8" x14ac:dyDescent="0.2">
      <c r="A155" s="1"/>
      <c r="B155" s="1"/>
      <c r="C155" s="1"/>
      <c r="D155" s="1"/>
      <c r="E155" s="1"/>
      <c r="F155" s="1"/>
      <c r="G155" s="1"/>
      <c r="H155" s="1"/>
    </row>
    <row r="156" spans="1:8" x14ac:dyDescent="0.2">
      <c r="A156" s="1"/>
      <c r="B156" s="1"/>
      <c r="C156" s="1"/>
      <c r="D156" s="1"/>
      <c r="E156" s="1"/>
      <c r="F156" s="1"/>
      <c r="G156" s="1"/>
      <c r="H156" s="1"/>
    </row>
    <row r="157" spans="1:8" x14ac:dyDescent="0.2">
      <c r="A157" s="1"/>
      <c r="B157" s="1"/>
      <c r="C157" s="1"/>
      <c r="D157" s="1"/>
      <c r="E157" s="1"/>
      <c r="F157" s="1"/>
      <c r="G157" s="1"/>
      <c r="H157" s="1"/>
    </row>
    <row r="160" spans="1:8" ht="17" thickBot="1" x14ac:dyDescent="0.25"/>
    <row r="161" spans="1:8" s="1" customFormat="1" ht="17" thickBot="1" x14ac:dyDescent="0.25">
      <c r="A161" s="50" t="s">
        <v>642</v>
      </c>
      <c r="B161" s="51"/>
      <c r="C161" s="51"/>
      <c r="D161" s="51"/>
      <c r="E161" s="51"/>
      <c r="F161" s="51"/>
      <c r="G161" s="51"/>
      <c r="H161" s="52"/>
    </row>
    <row r="162" spans="1:8" s="1" customFormat="1" x14ac:dyDescent="0.2"/>
    <row r="163" spans="1:8" s="1" customFormat="1" x14ac:dyDescent="0.2">
      <c r="A163" s="1" t="s">
        <v>539</v>
      </c>
    </row>
    <row r="164" spans="1:8" s="1" customFormat="1" x14ac:dyDescent="0.2"/>
    <row r="165" spans="1:8" s="1" customFormat="1" x14ac:dyDescent="0.2">
      <c r="C165" s="21" t="s">
        <v>389</v>
      </c>
      <c r="D165" s="21" t="s">
        <v>538</v>
      </c>
    </row>
    <row r="166" spans="1:8" s="1" customFormat="1" x14ac:dyDescent="0.2">
      <c r="C166" s="21" t="s">
        <v>526</v>
      </c>
      <c r="D166" s="21">
        <v>10</v>
      </c>
    </row>
    <row r="167" spans="1:8" s="1" customFormat="1" x14ac:dyDescent="0.2">
      <c r="C167" s="21" t="s">
        <v>654</v>
      </c>
      <c r="D167" s="21">
        <v>30</v>
      </c>
    </row>
    <row r="168" spans="1:8" s="1" customFormat="1" x14ac:dyDescent="0.2">
      <c r="C168" s="21" t="s">
        <v>408</v>
      </c>
      <c r="D168" s="21">
        <v>5</v>
      </c>
    </row>
    <row r="169" spans="1:8" s="1" customFormat="1" x14ac:dyDescent="0.2">
      <c r="C169" s="21" t="s">
        <v>392</v>
      </c>
      <c r="D169" s="21">
        <v>20</v>
      </c>
    </row>
    <row r="170" spans="1:8" s="1" customFormat="1" x14ac:dyDescent="0.2"/>
    <row r="171" spans="1:8" s="1" customFormat="1" x14ac:dyDescent="0.2">
      <c r="A171" s="1" t="s">
        <v>643</v>
      </c>
    </row>
    <row r="172" spans="1:8" s="1" customFormat="1" x14ac:dyDescent="0.2">
      <c r="A172" s="1" t="s">
        <v>534</v>
      </c>
    </row>
    <row r="173" spans="1:8" s="1" customFormat="1" x14ac:dyDescent="0.2"/>
    <row r="174" spans="1:8" s="1" customFormat="1" x14ac:dyDescent="0.2">
      <c r="A174" s="4" t="s">
        <v>78</v>
      </c>
    </row>
    <row r="175" spans="1:8" s="1" customFormat="1" x14ac:dyDescent="0.2"/>
    <row r="176" spans="1:8" s="1" customFormat="1" x14ac:dyDescent="0.2">
      <c r="A176" s="81" t="s">
        <v>71</v>
      </c>
      <c r="B176" s="81" t="s">
        <v>655</v>
      </c>
      <c r="C176" s="81" t="s">
        <v>656</v>
      </c>
      <c r="D176" s="81" t="s">
        <v>657</v>
      </c>
      <c r="E176" s="81" t="s">
        <v>658</v>
      </c>
      <c r="F176" s="81" t="s">
        <v>402</v>
      </c>
    </row>
    <row r="177" spans="1:8" s="1" customFormat="1" x14ac:dyDescent="0.2">
      <c r="A177" s="32">
        <v>0</v>
      </c>
      <c r="B177" s="32">
        <f>50-A177</f>
        <v>50</v>
      </c>
      <c r="C177" s="32">
        <f>-(30-A177)</f>
        <v>-30</v>
      </c>
      <c r="D177" s="32">
        <f>B177-20</f>
        <v>30</v>
      </c>
      <c r="E177" s="32">
        <f>C177+5</f>
        <v>-25</v>
      </c>
      <c r="F177" s="32">
        <f>D177+E177</f>
        <v>5</v>
      </c>
    </row>
    <row r="178" spans="1:8" s="1" customFormat="1" x14ac:dyDescent="0.2">
      <c r="A178" s="32">
        <f t="shared" ref="A178:A187" si="17">A177+10</f>
        <v>10</v>
      </c>
      <c r="B178" s="32">
        <f t="shared" ref="B178:B181" si="18">50-A178</f>
        <v>40</v>
      </c>
      <c r="C178" s="32">
        <f t="shared" ref="C178:C180" si="19">-(30-A178)</f>
        <v>-20</v>
      </c>
      <c r="D178" s="32">
        <f t="shared" ref="D178:D187" si="20">B178-20</f>
        <v>20</v>
      </c>
      <c r="E178" s="32">
        <f t="shared" ref="E178:E187" si="21">C178+5</f>
        <v>-15</v>
      </c>
      <c r="F178" s="32">
        <f t="shared" ref="F178:F187" si="22">D178+E178</f>
        <v>5</v>
      </c>
    </row>
    <row r="179" spans="1:8" s="1" customFormat="1" x14ac:dyDescent="0.2">
      <c r="A179" s="32">
        <f t="shared" si="17"/>
        <v>20</v>
      </c>
      <c r="B179" s="32">
        <f t="shared" si="18"/>
        <v>30</v>
      </c>
      <c r="C179" s="32">
        <f t="shared" si="19"/>
        <v>-10</v>
      </c>
      <c r="D179" s="32">
        <f t="shared" si="20"/>
        <v>10</v>
      </c>
      <c r="E179" s="32">
        <f t="shared" si="21"/>
        <v>-5</v>
      </c>
      <c r="F179" s="32">
        <f t="shared" si="22"/>
        <v>5</v>
      </c>
    </row>
    <row r="180" spans="1:8" s="1" customFormat="1" x14ac:dyDescent="0.2">
      <c r="A180" s="32">
        <f t="shared" si="17"/>
        <v>30</v>
      </c>
      <c r="B180" s="32">
        <f t="shared" si="18"/>
        <v>20</v>
      </c>
      <c r="C180" s="32">
        <f t="shared" si="19"/>
        <v>0</v>
      </c>
      <c r="D180" s="32">
        <f t="shared" si="20"/>
        <v>0</v>
      </c>
      <c r="E180" s="32">
        <f t="shared" si="21"/>
        <v>5</v>
      </c>
      <c r="F180" s="32">
        <f t="shared" si="22"/>
        <v>5</v>
      </c>
    </row>
    <row r="181" spans="1:8" s="1" customFormat="1" x14ac:dyDescent="0.2">
      <c r="A181" s="32">
        <f t="shared" si="17"/>
        <v>40</v>
      </c>
      <c r="B181" s="32">
        <f t="shared" si="18"/>
        <v>10</v>
      </c>
      <c r="C181" s="32">
        <v>0</v>
      </c>
      <c r="D181" s="32">
        <f t="shared" si="20"/>
        <v>-10</v>
      </c>
      <c r="E181" s="32">
        <f t="shared" si="21"/>
        <v>5</v>
      </c>
      <c r="F181" s="32">
        <f t="shared" si="22"/>
        <v>-5</v>
      </c>
    </row>
    <row r="182" spans="1:8" s="1" customFormat="1" x14ac:dyDescent="0.2">
      <c r="A182" s="32">
        <f t="shared" si="17"/>
        <v>50</v>
      </c>
      <c r="B182" s="32">
        <v>0</v>
      </c>
      <c r="C182" s="32">
        <v>0</v>
      </c>
      <c r="D182" s="32">
        <f t="shared" si="20"/>
        <v>-20</v>
      </c>
      <c r="E182" s="32">
        <f t="shared" si="21"/>
        <v>5</v>
      </c>
      <c r="F182" s="32">
        <f t="shared" si="22"/>
        <v>-15</v>
      </c>
    </row>
    <row r="183" spans="1:8" s="1" customFormat="1" x14ac:dyDescent="0.2">
      <c r="A183" s="32">
        <f t="shared" si="17"/>
        <v>60</v>
      </c>
      <c r="B183" s="32">
        <v>0</v>
      </c>
      <c r="C183" s="32">
        <v>0</v>
      </c>
      <c r="D183" s="32">
        <f t="shared" si="20"/>
        <v>-20</v>
      </c>
      <c r="E183" s="32">
        <f t="shared" si="21"/>
        <v>5</v>
      </c>
      <c r="F183" s="32">
        <f t="shared" si="22"/>
        <v>-15</v>
      </c>
    </row>
    <row r="184" spans="1:8" s="1" customFormat="1" x14ac:dyDescent="0.2">
      <c r="A184" s="32">
        <f t="shared" si="17"/>
        <v>70</v>
      </c>
      <c r="B184" s="32">
        <v>0</v>
      </c>
      <c r="C184" s="32">
        <v>0</v>
      </c>
      <c r="D184" s="32">
        <f t="shared" si="20"/>
        <v>-20</v>
      </c>
      <c r="E184" s="32">
        <f t="shared" si="21"/>
        <v>5</v>
      </c>
      <c r="F184" s="32">
        <f t="shared" si="22"/>
        <v>-15</v>
      </c>
    </row>
    <row r="185" spans="1:8" s="1" customFormat="1" x14ac:dyDescent="0.2">
      <c r="A185" s="32">
        <f t="shared" si="17"/>
        <v>80</v>
      </c>
      <c r="B185" s="32">
        <v>0</v>
      </c>
      <c r="C185" s="32">
        <v>0</v>
      </c>
      <c r="D185" s="32">
        <f t="shared" si="20"/>
        <v>-20</v>
      </c>
      <c r="E185" s="32">
        <f t="shared" si="21"/>
        <v>5</v>
      </c>
      <c r="F185" s="32">
        <f t="shared" si="22"/>
        <v>-15</v>
      </c>
    </row>
    <row r="186" spans="1:8" s="1" customFormat="1" x14ac:dyDescent="0.2">
      <c r="A186" s="32">
        <f t="shared" si="17"/>
        <v>90</v>
      </c>
      <c r="B186" s="32">
        <v>0</v>
      </c>
      <c r="C186" s="32">
        <v>0</v>
      </c>
      <c r="D186" s="32">
        <f t="shared" si="20"/>
        <v>-20</v>
      </c>
      <c r="E186" s="32">
        <f t="shared" si="21"/>
        <v>5</v>
      </c>
      <c r="F186" s="32">
        <f t="shared" si="22"/>
        <v>-15</v>
      </c>
    </row>
    <row r="187" spans="1:8" s="1" customFormat="1" x14ac:dyDescent="0.2">
      <c r="A187" s="32">
        <f t="shared" si="17"/>
        <v>100</v>
      </c>
      <c r="B187" s="32">
        <v>0</v>
      </c>
      <c r="C187" s="32">
        <v>0</v>
      </c>
      <c r="D187" s="32">
        <f t="shared" si="20"/>
        <v>-20</v>
      </c>
      <c r="E187" s="32">
        <f t="shared" si="21"/>
        <v>5</v>
      </c>
      <c r="F187" s="32">
        <f t="shared" si="22"/>
        <v>-15</v>
      </c>
    </row>
    <row r="188" spans="1:8" s="1" customFormat="1" x14ac:dyDescent="0.2"/>
    <row r="189" spans="1:8" s="1" customFormat="1" x14ac:dyDescent="0.2">
      <c r="A189" s="4" t="s">
        <v>585</v>
      </c>
    </row>
    <row r="190" spans="1:8" s="1" customFormat="1" x14ac:dyDescent="0.2"/>
    <row r="191" spans="1:8" s="1" customFormat="1" x14ac:dyDescent="0.2">
      <c r="G191" s="1" t="s">
        <v>638</v>
      </c>
    </row>
    <row r="192" spans="1:8" x14ac:dyDescent="0.2">
      <c r="A192" s="1"/>
      <c r="B192" s="1"/>
      <c r="C192" s="1"/>
      <c r="D192" s="1"/>
      <c r="E192" s="1"/>
      <c r="F192" s="1"/>
      <c r="G192" s="1" t="s">
        <v>652</v>
      </c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x14ac:dyDescent="0.2">
      <c r="A194" s="1"/>
      <c r="B194" s="1"/>
      <c r="C194" s="1"/>
      <c r="D194" s="1"/>
      <c r="E194" s="1"/>
      <c r="F194" s="1"/>
      <c r="G194" s="1" t="s">
        <v>639</v>
      </c>
      <c r="H194" s="1"/>
    </row>
    <row r="195" spans="1:8" x14ac:dyDescent="0.2">
      <c r="A195" s="1"/>
      <c r="B195" s="1"/>
      <c r="C195" s="1"/>
      <c r="D195" s="1"/>
      <c r="E195" s="1"/>
      <c r="F195" s="1"/>
      <c r="G195" s="1" t="s">
        <v>653</v>
      </c>
      <c r="H195" s="1"/>
    </row>
    <row r="196" spans="1:8" x14ac:dyDescent="0.2">
      <c r="A196" s="1"/>
      <c r="B196" s="1"/>
      <c r="C196" s="1"/>
      <c r="D196" s="1"/>
      <c r="E196" s="1"/>
      <c r="F196" s="1"/>
      <c r="G196" s="1"/>
      <c r="H196" s="1"/>
    </row>
    <row r="197" spans="1:8" x14ac:dyDescent="0.2">
      <c r="A197" s="1"/>
      <c r="B197" s="1"/>
      <c r="C197" s="1"/>
      <c r="D197" s="1"/>
      <c r="E197" s="1"/>
      <c r="F197" s="1"/>
      <c r="G197" s="1" t="s">
        <v>640</v>
      </c>
      <c r="H197" s="1"/>
    </row>
    <row r="198" spans="1:8" x14ac:dyDescent="0.2">
      <c r="A198" s="1"/>
      <c r="B198" s="1"/>
      <c r="C198" s="1"/>
      <c r="D198" s="1"/>
      <c r="E198" s="1"/>
      <c r="F198" s="1"/>
      <c r="G198" s="1"/>
      <c r="H198" s="1"/>
    </row>
    <row r="199" spans="1:8" x14ac:dyDescent="0.2">
      <c r="A199" s="1"/>
      <c r="B199" s="1"/>
      <c r="C199" s="1"/>
      <c r="D199" s="1"/>
      <c r="E199" s="1"/>
      <c r="F199" s="1"/>
      <c r="G199" s="1"/>
      <c r="H199" s="1"/>
    </row>
    <row r="200" spans="1:8" x14ac:dyDescent="0.2">
      <c r="A200" s="4"/>
      <c r="B200" s="1"/>
      <c r="C200" s="1"/>
      <c r="D200" s="1"/>
      <c r="E200" s="1"/>
      <c r="F200" s="1"/>
      <c r="G200" s="1"/>
      <c r="H200" s="1"/>
    </row>
    <row r="201" spans="1:8" x14ac:dyDescent="0.2">
      <c r="A201" s="1"/>
      <c r="B201" s="1"/>
      <c r="C201" s="1"/>
      <c r="D201" s="1"/>
      <c r="E201" s="1"/>
      <c r="F201" s="1"/>
      <c r="G201" s="1"/>
      <c r="H201" s="1"/>
    </row>
    <row r="202" spans="1:8" x14ac:dyDescent="0.2">
      <c r="A202" s="1"/>
      <c r="B202" s="1"/>
      <c r="C202" s="1"/>
      <c r="D202" s="1"/>
      <c r="E202" s="1"/>
      <c r="F202" s="1"/>
      <c r="G202" s="1"/>
      <c r="H202" s="1"/>
    </row>
    <row r="203" spans="1:8" x14ac:dyDescent="0.2">
      <c r="A203" s="1"/>
      <c r="B203" s="1"/>
      <c r="C203" s="1"/>
      <c r="D203" s="1"/>
      <c r="E203" s="1"/>
      <c r="F203" s="1"/>
      <c r="G203" s="1"/>
      <c r="H203" s="1"/>
    </row>
    <row r="207" spans="1:8" s="1" customFormat="1" x14ac:dyDescent="0.2"/>
    <row r="208" spans="1:8" s="1" customFormat="1" x14ac:dyDescent="0.2"/>
    <row r="209" s="1" customFormat="1" x14ac:dyDescent="0.2"/>
    <row r="210" s="1" customFormat="1" x14ac:dyDescent="0.2"/>
    <row r="211" s="1" customFormat="1" x14ac:dyDescent="0.2"/>
    <row r="212" s="1" customFormat="1" x14ac:dyDescent="0.2"/>
    <row r="213" s="1" customFormat="1" x14ac:dyDescent="0.2"/>
    <row r="214" s="1" customFormat="1" x14ac:dyDescent="0.2"/>
    <row r="215" s="1" customFormat="1" x14ac:dyDescent="0.2"/>
    <row r="216" s="1" customFormat="1" x14ac:dyDescent="0.2"/>
    <row r="217" s="1" customFormat="1" x14ac:dyDescent="0.2"/>
    <row r="218" s="1" customFormat="1" x14ac:dyDescent="0.2"/>
    <row r="219" s="1" customFormat="1" x14ac:dyDescent="0.2"/>
    <row r="220" s="1" customFormat="1" x14ac:dyDescent="0.2"/>
    <row r="221" s="1" customFormat="1" x14ac:dyDescent="0.2"/>
    <row r="222" s="1" customFormat="1" x14ac:dyDescent="0.2"/>
    <row r="223" s="1" customFormat="1" x14ac:dyDescent="0.2"/>
    <row r="224" s="1" customFormat="1" x14ac:dyDescent="0.2"/>
    <row r="225" s="1" customFormat="1" x14ac:dyDescent="0.2"/>
    <row r="226" s="1" customFormat="1" x14ac:dyDescent="0.2"/>
    <row r="227" s="1" customFormat="1" x14ac:dyDescent="0.2"/>
    <row r="228" s="1" customFormat="1" x14ac:dyDescent="0.2"/>
    <row r="229" s="1" customFormat="1" x14ac:dyDescent="0.2"/>
    <row r="230" s="1" customFormat="1" x14ac:dyDescent="0.2"/>
    <row r="231" s="1" customFormat="1" x14ac:dyDescent="0.2"/>
    <row r="232" s="1" customFormat="1" x14ac:dyDescent="0.2"/>
    <row r="233" s="1" customFormat="1" x14ac:dyDescent="0.2"/>
    <row r="234" s="1" customFormat="1" x14ac:dyDescent="0.2"/>
    <row r="235" s="1" customFormat="1" x14ac:dyDescent="0.2"/>
    <row r="236" s="1" customFormat="1" x14ac:dyDescent="0.2"/>
    <row r="237" s="1" customFormat="1" x14ac:dyDescent="0.2"/>
    <row r="238" s="1" customFormat="1" x14ac:dyDescent="0.2"/>
    <row r="239" s="1" customFormat="1" x14ac:dyDescent="0.2"/>
    <row r="240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</sheetData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71" max="16383" man="1"/>
    <brk id="114" max="16383" man="1"/>
    <brk id="160" max="16383" man="1"/>
  </row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12A47C-A934-A44C-B6F7-F5879161CB03}">
  <dimension ref="A1:K222"/>
  <sheetViews>
    <sheetView rightToLeft="1" topLeftCell="A21" zoomScale="250" zoomScaleNormal="125" zoomScaleSheetLayoutView="227" workbookViewId="0">
      <selection activeCell="D31" sqref="D31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1605</v>
      </c>
      <c r="B1" s="2"/>
      <c r="C1" s="2"/>
      <c r="D1" s="2"/>
      <c r="E1" s="2"/>
      <c r="F1" s="2"/>
      <c r="G1" s="2"/>
      <c r="H1" s="3">
        <v>45308</v>
      </c>
    </row>
    <row r="3" spans="1:8" x14ac:dyDescent="0.2">
      <c r="A3" s="1" t="s">
        <v>1622</v>
      </c>
    </row>
    <row r="4" spans="1:8" x14ac:dyDescent="0.2">
      <c r="A4" s="1" t="s">
        <v>1623</v>
      </c>
    </row>
    <row r="5" spans="1:8" x14ac:dyDescent="0.2">
      <c r="A5" s="1" t="s">
        <v>1624</v>
      </c>
    </row>
    <row r="6" spans="1:8" x14ac:dyDescent="0.2">
      <c r="A6" s="1" t="s">
        <v>1625</v>
      </c>
    </row>
    <row r="7" spans="1:8" x14ac:dyDescent="0.2">
      <c r="A7" s="1" t="s">
        <v>1626</v>
      </c>
    </row>
    <row r="9" spans="1:8" x14ac:dyDescent="0.2">
      <c r="B9" s="4" t="s">
        <v>1628</v>
      </c>
      <c r="F9" s="4" t="s">
        <v>1629</v>
      </c>
    </row>
    <row r="10" spans="1:8" x14ac:dyDescent="0.2">
      <c r="H10" s="21" t="s">
        <v>280</v>
      </c>
    </row>
    <row r="11" spans="1:8" x14ac:dyDescent="0.2">
      <c r="B11" s="21" t="s">
        <v>374</v>
      </c>
      <c r="D11" s="21" t="s">
        <v>280</v>
      </c>
      <c r="F11" s="21" t="s">
        <v>371</v>
      </c>
    </row>
    <row r="12" spans="1:8" x14ac:dyDescent="0.2">
      <c r="B12" s="21" t="s">
        <v>1627</v>
      </c>
      <c r="F12" s="21" t="s">
        <v>1630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1608</v>
      </c>
      <c r="B26" s="71"/>
      <c r="C26" s="71"/>
      <c r="D26" s="71"/>
      <c r="E26" s="71"/>
      <c r="F26" s="71"/>
      <c r="G26" s="71"/>
      <c r="H26" s="72"/>
    </row>
    <row r="27" spans="1:8" x14ac:dyDescent="0.2">
      <c r="A27" s="64"/>
      <c r="H27" s="42"/>
    </row>
    <row r="28" spans="1:8" x14ac:dyDescent="0.2">
      <c r="A28" s="64" t="s">
        <v>381</v>
      </c>
      <c r="B28" s="1" t="s">
        <v>1609</v>
      </c>
      <c r="H28" s="42"/>
    </row>
    <row r="29" spans="1:8" x14ac:dyDescent="0.2">
      <c r="A29" s="64"/>
      <c r="B29" s="1" t="s">
        <v>1610</v>
      </c>
      <c r="H29" s="42"/>
    </row>
    <row r="30" spans="1:8" x14ac:dyDescent="0.2">
      <c r="A30" s="64"/>
      <c r="B30" s="1" t="s">
        <v>465</v>
      </c>
      <c r="C30" s="1" t="s">
        <v>508</v>
      </c>
      <c r="D30" s="1" t="s">
        <v>2082</v>
      </c>
      <c r="H30" s="42"/>
    </row>
    <row r="31" spans="1:8" x14ac:dyDescent="0.2">
      <c r="A31" s="64"/>
      <c r="B31" s="1" t="s">
        <v>506</v>
      </c>
      <c r="C31" s="1" t="s">
        <v>464</v>
      </c>
      <c r="D31" s="1" t="s">
        <v>1611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1612</v>
      </c>
      <c r="H33" s="42"/>
    </row>
    <row r="34" spans="1:8" x14ac:dyDescent="0.2">
      <c r="A34" s="64"/>
      <c r="B34" s="1" t="s">
        <v>1613</v>
      </c>
      <c r="H34" s="42"/>
    </row>
    <row r="35" spans="1:8" x14ac:dyDescent="0.2">
      <c r="A35" s="64"/>
      <c r="B35" s="1" t="s">
        <v>1547</v>
      </c>
      <c r="H35" s="42"/>
    </row>
    <row r="36" spans="1:8" x14ac:dyDescent="0.2">
      <c r="A36" s="64"/>
      <c r="H36" s="42"/>
    </row>
    <row r="37" spans="1:8" x14ac:dyDescent="0.2">
      <c r="A37" s="64" t="s">
        <v>383</v>
      </c>
      <c r="B37" s="1" t="s">
        <v>1614</v>
      </c>
      <c r="H37" s="42"/>
    </row>
    <row r="38" spans="1:8" x14ac:dyDescent="0.2">
      <c r="A38" s="64"/>
      <c r="H38" s="42"/>
    </row>
    <row r="39" spans="1:8" x14ac:dyDescent="0.2">
      <c r="A39" s="64" t="s">
        <v>385</v>
      </c>
      <c r="B39" s="1" t="s">
        <v>1631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386</v>
      </c>
      <c r="B41" s="44" t="s">
        <v>510</v>
      </c>
      <c r="C41" s="44"/>
      <c r="D41" s="44"/>
      <c r="E41" s="44"/>
      <c r="F41" s="44"/>
      <c r="G41" s="44"/>
      <c r="H41" s="45"/>
    </row>
    <row r="43" spans="1:8" x14ac:dyDescent="0.2">
      <c r="A43" s="230" t="s">
        <v>1616</v>
      </c>
      <c r="B43" s="230"/>
      <c r="C43" s="230"/>
      <c r="D43" s="230"/>
      <c r="E43" s="230"/>
      <c r="F43" s="230"/>
      <c r="G43" s="230"/>
      <c r="H43" s="230"/>
    </row>
    <row r="44" spans="1:8" x14ac:dyDescent="0.2">
      <c r="A44" s="1" t="s">
        <v>1617</v>
      </c>
    </row>
    <row r="45" spans="1:8" x14ac:dyDescent="0.2">
      <c r="A45" s="1" t="s">
        <v>1632</v>
      </c>
    </row>
    <row r="46" spans="1:8" x14ac:dyDescent="0.2">
      <c r="A46" s="1" t="s">
        <v>1618</v>
      </c>
    </row>
    <row r="47" spans="1:8" x14ac:dyDescent="0.2">
      <c r="D47" s="21" t="s">
        <v>1017</v>
      </c>
      <c r="E47" s="21" t="s">
        <v>741</v>
      </c>
    </row>
    <row r="48" spans="1:8" x14ac:dyDescent="0.2">
      <c r="D48" s="21">
        <v>8</v>
      </c>
      <c r="E48" s="21" t="s">
        <v>1619</v>
      </c>
    </row>
    <row r="49" spans="1:10" x14ac:dyDescent="0.2">
      <c r="D49" s="21">
        <v>3</v>
      </c>
      <c r="E49" s="21" t="s">
        <v>1620</v>
      </c>
    </row>
    <row r="51" spans="1:10" x14ac:dyDescent="0.2">
      <c r="A51" s="1" t="s">
        <v>1621</v>
      </c>
    </row>
    <row r="53" spans="1:10" x14ac:dyDescent="0.2">
      <c r="A53" s="1" t="s">
        <v>78</v>
      </c>
    </row>
    <row r="54" spans="1:10" x14ac:dyDescent="0.2">
      <c r="A54" s="1" t="s">
        <v>1634</v>
      </c>
    </row>
    <row r="55" spans="1:10" x14ac:dyDescent="0.2">
      <c r="A55" s="1" t="s">
        <v>1635</v>
      </c>
    </row>
    <row r="56" spans="1:10" x14ac:dyDescent="0.2">
      <c r="A56" s="1" t="s">
        <v>1636</v>
      </c>
    </row>
    <row r="58" spans="1:10" x14ac:dyDescent="0.2">
      <c r="B58" s="21"/>
      <c r="C58" s="21" t="s">
        <v>1637</v>
      </c>
      <c r="D58" s="21" t="s">
        <v>1586</v>
      </c>
      <c r="E58" s="21"/>
    </row>
    <row r="59" spans="1:10" x14ac:dyDescent="0.2">
      <c r="B59" s="21" t="s">
        <v>897</v>
      </c>
      <c r="C59" s="21" t="s">
        <v>280</v>
      </c>
      <c r="D59" s="21" t="s">
        <v>1633</v>
      </c>
      <c r="E59" s="21" t="s">
        <v>1341</v>
      </c>
    </row>
    <row r="60" spans="1:10" x14ac:dyDescent="0.2">
      <c r="B60" s="75" t="s">
        <v>71</v>
      </c>
      <c r="C60" s="75" t="s">
        <v>1639</v>
      </c>
      <c r="D60" s="75" t="s">
        <v>1638</v>
      </c>
      <c r="E60" s="75" t="s">
        <v>280</v>
      </c>
    </row>
    <row r="61" spans="1:10" x14ac:dyDescent="0.2">
      <c r="B61" s="21">
        <v>20</v>
      </c>
      <c r="C61" s="21">
        <v>-8</v>
      </c>
      <c r="D61" s="21">
        <f>--3</f>
        <v>3</v>
      </c>
      <c r="E61" s="21">
        <f>C61+D61</f>
        <v>-5</v>
      </c>
      <c r="J61" s="21" t="s">
        <v>280</v>
      </c>
    </row>
    <row r="62" spans="1:10" x14ac:dyDescent="0.2">
      <c r="B62" s="21">
        <v>25</v>
      </c>
      <c r="C62" s="21">
        <v>-8</v>
      </c>
      <c r="D62" s="21">
        <f t="shared" ref="D62:D68" si="0">D61</f>
        <v>3</v>
      </c>
      <c r="E62" s="21">
        <f t="shared" ref="E62:E75" si="1">C62+D62</f>
        <v>-5</v>
      </c>
      <c r="H62" s="21" t="s">
        <v>371</v>
      </c>
    </row>
    <row r="63" spans="1:10" x14ac:dyDescent="0.2">
      <c r="B63" s="21">
        <f>B62+5</f>
        <v>30</v>
      </c>
      <c r="C63" s="21">
        <v>-8</v>
      </c>
      <c r="D63" s="21">
        <f t="shared" si="0"/>
        <v>3</v>
      </c>
      <c r="E63" s="21">
        <f t="shared" si="1"/>
        <v>-5</v>
      </c>
      <c r="H63" s="21" t="s">
        <v>1630</v>
      </c>
    </row>
    <row r="64" spans="1:10" x14ac:dyDescent="0.2">
      <c r="B64" s="21">
        <f t="shared" ref="B64:B75" si="2">B63+5</f>
        <v>35</v>
      </c>
      <c r="C64" s="21">
        <v>-8</v>
      </c>
      <c r="D64" s="21">
        <f t="shared" si="0"/>
        <v>3</v>
      </c>
      <c r="E64" s="21">
        <f t="shared" si="1"/>
        <v>-5</v>
      </c>
    </row>
    <row r="65" spans="2:11" x14ac:dyDescent="0.2">
      <c r="B65" s="21">
        <f t="shared" si="2"/>
        <v>40</v>
      </c>
      <c r="C65" s="21">
        <v>-8</v>
      </c>
      <c r="D65" s="21">
        <f t="shared" si="0"/>
        <v>3</v>
      </c>
      <c r="E65" s="21">
        <f t="shared" si="1"/>
        <v>-5</v>
      </c>
    </row>
    <row r="66" spans="2:11" x14ac:dyDescent="0.2">
      <c r="B66" s="21">
        <f t="shared" si="2"/>
        <v>45</v>
      </c>
      <c r="C66" s="21">
        <v>-8</v>
      </c>
      <c r="D66" s="21">
        <f t="shared" si="0"/>
        <v>3</v>
      </c>
      <c r="E66" s="21">
        <f t="shared" si="1"/>
        <v>-5</v>
      </c>
    </row>
    <row r="67" spans="2:11" x14ac:dyDescent="0.2">
      <c r="B67" s="231">
        <f t="shared" si="2"/>
        <v>50</v>
      </c>
      <c r="C67" s="21">
        <f>50-45-8</f>
        <v>-3</v>
      </c>
      <c r="D67" s="21">
        <f t="shared" si="0"/>
        <v>3</v>
      </c>
      <c r="E67" s="21">
        <f t="shared" si="1"/>
        <v>0</v>
      </c>
    </row>
    <row r="68" spans="2:11" ht="17" thickBot="1" x14ac:dyDescent="0.25">
      <c r="B68" s="231">
        <f t="shared" si="2"/>
        <v>55</v>
      </c>
      <c r="C68" s="21">
        <f>55-45-8</f>
        <v>2</v>
      </c>
      <c r="D68" s="21">
        <f t="shared" si="0"/>
        <v>3</v>
      </c>
      <c r="E68" s="21">
        <f t="shared" si="1"/>
        <v>5</v>
      </c>
    </row>
    <row r="69" spans="2:11" x14ac:dyDescent="0.2">
      <c r="B69" s="232">
        <f t="shared" si="2"/>
        <v>60</v>
      </c>
      <c r="C69" s="21">
        <f>B69-45-8</f>
        <v>7</v>
      </c>
      <c r="D69" s="21">
        <f>-(60-55-3)</f>
        <v>-2</v>
      </c>
      <c r="E69" s="21">
        <f t="shared" si="1"/>
        <v>5</v>
      </c>
      <c r="G69" s="21" t="s">
        <v>71</v>
      </c>
    </row>
    <row r="70" spans="2:11" x14ac:dyDescent="0.2">
      <c r="B70" s="233">
        <f t="shared" si="2"/>
        <v>65</v>
      </c>
      <c r="C70" s="21">
        <f t="shared" ref="C70:C75" si="3">B70-45-8</f>
        <v>12</v>
      </c>
      <c r="D70" s="21">
        <f>-(B70-55-3)</f>
        <v>-7</v>
      </c>
      <c r="E70" s="21">
        <f t="shared" si="1"/>
        <v>5</v>
      </c>
    </row>
    <row r="71" spans="2:11" x14ac:dyDescent="0.2">
      <c r="B71" s="233">
        <f t="shared" si="2"/>
        <v>70</v>
      </c>
      <c r="C71" s="21">
        <f t="shared" si="3"/>
        <v>17</v>
      </c>
      <c r="D71" s="21">
        <f>-(B71-55-3)</f>
        <v>-12</v>
      </c>
      <c r="E71" s="21">
        <f t="shared" si="1"/>
        <v>5</v>
      </c>
    </row>
    <row r="72" spans="2:11" x14ac:dyDescent="0.2">
      <c r="B72" s="233">
        <f t="shared" si="2"/>
        <v>75</v>
      </c>
      <c r="C72" s="21">
        <f t="shared" si="3"/>
        <v>22</v>
      </c>
      <c r="D72" s="21">
        <f t="shared" ref="D72:D75" si="4">-(B72-55-3)</f>
        <v>-17</v>
      </c>
      <c r="E72" s="21">
        <f t="shared" si="1"/>
        <v>5</v>
      </c>
    </row>
    <row r="73" spans="2:11" x14ac:dyDescent="0.2">
      <c r="B73" s="233">
        <f t="shared" si="2"/>
        <v>80</v>
      </c>
      <c r="C73" s="21">
        <f t="shared" si="3"/>
        <v>27</v>
      </c>
      <c r="D73" s="21">
        <f t="shared" si="4"/>
        <v>-22</v>
      </c>
      <c r="E73" s="21">
        <f t="shared" si="1"/>
        <v>5</v>
      </c>
    </row>
    <row r="74" spans="2:11" x14ac:dyDescent="0.2">
      <c r="B74" s="233">
        <f>B73+5</f>
        <v>85</v>
      </c>
      <c r="C74" s="21">
        <f t="shared" si="3"/>
        <v>32</v>
      </c>
      <c r="D74" s="21">
        <f t="shared" si="4"/>
        <v>-27</v>
      </c>
      <c r="E74" s="21">
        <f t="shared" si="1"/>
        <v>5</v>
      </c>
    </row>
    <row r="75" spans="2:11" ht="17" thickBot="1" x14ac:dyDescent="0.25">
      <c r="B75" s="234">
        <f t="shared" si="2"/>
        <v>90</v>
      </c>
      <c r="C75" s="21">
        <f t="shared" si="3"/>
        <v>37</v>
      </c>
      <c r="D75" s="21">
        <f t="shared" si="4"/>
        <v>-32</v>
      </c>
      <c r="E75" s="21">
        <f t="shared" si="1"/>
        <v>5</v>
      </c>
    </row>
    <row r="76" spans="2:11" ht="17" thickBot="1" x14ac:dyDescent="0.25"/>
    <row r="77" spans="2:11" x14ac:dyDescent="0.2">
      <c r="H77" s="46" t="s">
        <v>1640</v>
      </c>
      <c r="I77" s="113"/>
      <c r="J77" s="113"/>
      <c r="K77" s="114"/>
    </row>
    <row r="78" spans="2:11" ht="17" thickBot="1" x14ac:dyDescent="0.25">
      <c r="H78" s="110" t="s">
        <v>1641</v>
      </c>
      <c r="I78" s="115"/>
      <c r="J78" s="115"/>
      <c r="K78" s="116"/>
    </row>
    <row r="79" spans="2:11" x14ac:dyDescent="0.2">
      <c r="H79" s="1" t="s">
        <v>1642</v>
      </c>
      <c r="K79" s="21">
        <v>3</v>
      </c>
    </row>
    <row r="80" spans="2:11" x14ac:dyDescent="0.2">
      <c r="H80" s="1" t="s">
        <v>1643</v>
      </c>
      <c r="K80" s="21">
        <v>-8</v>
      </c>
    </row>
    <row r="81" spans="1:11" x14ac:dyDescent="0.2">
      <c r="H81" s="1" t="s">
        <v>1644</v>
      </c>
      <c r="K81" s="235">
        <f>K79+K80</f>
        <v>-5</v>
      </c>
    </row>
    <row r="82" spans="1:11" ht="17" thickBot="1" x14ac:dyDescent="0.25"/>
    <row r="83" spans="1:11" x14ac:dyDescent="0.2">
      <c r="B83" s="46" t="s">
        <v>1654</v>
      </c>
      <c r="C83" s="113"/>
      <c r="D83" s="113"/>
      <c r="E83" s="114"/>
      <c r="H83" s="46" t="s">
        <v>1645</v>
      </c>
      <c r="I83" s="113"/>
      <c r="J83" s="113"/>
      <c r="K83" s="114"/>
    </row>
    <row r="84" spans="1:11" x14ac:dyDescent="0.2">
      <c r="B84" s="111" t="s">
        <v>1655</v>
      </c>
      <c r="C84" s="4"/>
      <c r="D84" s="4"/>
      <c r="E84" s="96"/>
      <c r="H84" s="111" t="s">
        <v>1646</v>
      </c>
      <c r="I84" s="4"/>
      <c r="J84" s="4"/>
      <c r="K84" s="96"/>
    </row>
    <row r="85" spans="1:11" ht="17" thickBot="1" x14ac:dyDescent="0.25">
      <c r="B85" s="110" t="s">
        <v>1656</v>
      </c>
      <c r="C85" s="115"/>
      <c r="D85" s="115"/>
      <c r="E85" s="116"/>
      <c r="H85" s="110" t="s">
        <v>1647</v>
      </c>
      <c r="I85" s="115"/>
      <c r="J85" s="115"/>
      <c r="K85" s="116"/>
    </row>
    <row r="86" spans="1:11" ht="17" thickBot="1" x14ac:dyDescent="0.25"/>
    <row r="87" spans="1:11" x14ac:dyDescent="0.2">
      <c r="B87" s="46" t="s">
        <v>1657</v>
      </c>
      <c r="C87" s="113"/>
      <c r="D87" s="113"/>
      <c r="E87" s="114"/>
      <c r="H87" s="46" t="s">
        <v>1648</v>
      </c>
      <c r="I87" s="113"/>
      <c r="J87" s="113"/>
      <c r="K87" s="114"/>
    </row>
    <row r="88" spans="1:11" x14ac:dyDescent="0.2">
      <c r="B88" s="111" t="s">
        <v>1658</v>
      </c>
      <c r="C88" s="4"/>
      <c r="D88" s="4"/>
      <c r="E88" s="96"/>
      <c r="H88" s="111" t="s">
        <v>1649</v>
      </c>
      <c r="I88" s="4"/>
      <c r="J88" s="4"/>
      <c r="K88" s="96"/>
    </row>
    <row r="89" spans="1:11" ht="17" thickBot="1" x14ac:dyDescent="0.25">
      <c r="B89" s="110" t="s">
        <v>1659</v>
      </c>
      <c r="C89" s="115"/>
      <c r="D89" s="115"/>
      <c r="E89" s="116"/>
      <c r="H89" s="110" t="s">
        <v>1650</v>
      </c>
      <c r="I89" s="115"/>
      <c r="J89" s="115"/>
      <c r="K89" s="116"/>
    </row>
    <row r="91" spans="1:11" x14ac:dyDescent="0.2">
      <c r="H91" s="1" t="s">
        <v>1651</v>
      </c>
      <c r="K91" s="21">
        <v>45</v>
      </c>
    </row>
    <row r="92" spans="1:11" x14ac:dyDescent="0.2">
      <c r="H92" s="1" t="s">
        <v>1652</v>
      </c>
      <c r="K92" s="21">
        <v>5</v>
      </c>
    </row>
    <row r="93" spans="1:11" x14ac:dyDescent="0.2">
      <c r="H93" s="1" t="s">
        <v>1653</v>
      </c>
      <c r="K93" s="235">
        <f>K91+K92</f>
        <v>50</v>
      </c>
    </row>
    <row r="95" spans="1:11" ht="17" thickBot="1" x14ac:dyDescent="0.25"/>
    <row r="96" spans="1:11" ht="28" x14ac:dyDescent="0.3">
      <c r="A96" s="237" t="s">
        <v>1615</v>
      </c>
      <c r="B96" s="118"/>
      <c r="C96" s="118"/>
      <c r="D96" s="118"/>
      <c r="E96" s="118"/>
      <c r="F96" s="118"/>
      <c r="G96" s="39"/>
      <c r="H96" s="40"/>
    </row>
    <row r="97" spans="1:8" s="25" customFormat="1" x14ac:dyDescent="0.2">
      <c r="A97" s="26" t="s">
        <v>659</v>
      </c>
      <c r="B97" s="108" t="s">
        <v>660</v>
      </c>
      <c r="H97" s="27"/>
    </row>
    <row r="98" spans="1:8" s="25" customFormat="1" x14ac:dyDescent="0.2">
      <c r="A98" s="26" t="s">
        <v>661</v>
      </c>
      <c r="B98" s="25" t="s">
        <v>1660</v>
      </c>
      <c r="H98" s="27"/>
    </row>
    <row r="99" spans="1:8" s="25" customFormat="1" x14ac:dyDescent="0.2">
      <c r="A99" s="26" t="s">
        <v>662</v>
      </c>
      <c r="B99" s="25" t="s">
        <v>673</v>
      </c>
      <c r="H99" s="27"/>
    </row>
    <row r="100" spans="1:8" s="25" customFormat="1" x14ac:dyDescent="0.2">
      <c r="A100" s="26" t="s">
        <v>663</v>
      </c>
      <c r="B100" s="25" t="s">
        <v>664</v>
      </c>
      <c r="H100" s="27"/>
    </row>
    <row r="101" spans="1:8" s="25" customFormat="1" x14ac:dyDescent="0.2">
      <c r="A101" s="26" t="s">
        <v>674</v>
      </c>
      <c r="B101" s="25" t="s">
        <v>1661</v>
      </c>
      <c r="H101" s="27"/>
    </row>
    <row r="102" spans="1:8" s="25" customFormat="1" x14ac:dyDescent="0.2">
      <c r="A102" s="26"/>
      <c r="B102" s="25" t="s">
        <v>682</v>
      </c>
      <c r="H102" s="27"/>
    </row>
    <row r="103" spans="1:8" s="25" customFormat="1" x14ac:dyDescent="0.2">
      <c r="A103" s="26" t="s">
        <v>676</v>
      </c>
      <c r="B103" s="25" t="s">
        <v>1662</v>
      </c>
      <c r="H103" s="27"/>
    </row>
    <row r="104" spans="1:8" s="25" customFormat="1" x14ac:dyDescent="0.2">
      <c r="A104" s="26" t="s">
        <v>677</v>
      </c>
      <c r="B104" s="25" t="s">
        <v>1663</v>
      </c>
      <c r="H104" s="27"/>
    </row>
    <row r="105" spans="1:8" x14ac:dyDescent="0.2">
      <c r="A105" s="41"/>
      <c r="H105" s="42"/>
    </row>
    <row r="106" spans="1:8" x14ac:dyDescent="0.2">
      <c r="A106" s="236" t="s">
        <v>1664</v>
      </c>
      <c r="B106" s="38"/>
      <c r="C106" s="38"/>
      <c r="D106" s="38"/>
      <c r="E106" s="38"/>
      <c r="F106" s="38"/>
      <c r="H106" s="42"/>
    </row>
    <row r="107" spans="1:8" x14ac:dyDescent="0.2">
      <c r="A107" s="41" t="s">
        <v>665</v>
      </c>
      <c r="B107" s="1" t="s">
        <v>666</v>
      </c>
      <c r="H107" s="42"/>
    </row>
    <row r="108" spans="1:8" x14ac:dyDescent="0.2">
      <c r="A108" s="41" t="s">
        <v>667</v>
      </c>
      <c r="B108" s="1" t="s">
        <v>668</v>
      </c>
      <c r="H108" s="42"/>
    </row>
    <row r="109" spans="1:8" x14ac:dyDescent="0.2">
      <c r="A109" s="41" t="s">
        <v>669</v>
      </c>
      <c r="B109" s="1" t="s">
        <v>670</v>
      </c>
      <c r="H109" s="42"/>
    </row>
    <row r="110" spans="1:8" x14ac:dyDescent="0.2">
      <c r="A110" s="41" t="s">
        <v>671</v>
      </c>
      <c r="B110" s="1" t="s">
        <v>1606</v>
      </c>
      <c r="H110" s="42"/>
    </row>
    <row r="111" spans="1:8" x14ac:dyDescent="0.2">
      <c r="A111" s="41" t="s">
        <v>672</v>
      </c>
      <c r="B111" s="1" t="s">
        <v>1607</v>
      </c>
      <c r="H111" s="42"/>
    </row>
    <row r="112" spans="1:8" x14ac:dyDescent="0.2">
      <c r="A112" s="41"/>
      <c r="H112" s="42"/>
    </row>
    <row r="113" spans="1:8" x14ac:dyDescent="0.2">
      <c r="A113" s="236" t="s">
        <v>675</v>
      </c>
      <c r="B113" s="107"/>
      <c r="C113" s="107"/>
      <c r="D113" s="107"/>
      <c r="E113" s="107"/>
      <c r="F113" s="107"/>
      <c r="H113" s="42"/>
    </row>
    <row r="114" spans="1:8" ht="17" thickBot="1" x14ac:dyDescent="0.25">
      <c r="A114" s="43" t="s">
        <v>683</v>
      </c>
      <c r="B114" s="44"/>
      <c r="C114" s="44"/>
      <c r="D114" s="44"/>
      <c r="E114" s="44"/>
      <c r="F114" s="44"/>
      <c r="G114" s="44"/>
      <c r="H114" s="45"/>
    </row>
    <row r="116" spans="1:8" x14ac:dyDescent="0.2">
      <c r="A116" s="13" t="s">
        <v>1977</v>
      </c>
    </row>
    <row r="118" spans="1:8" ht="17" thickBot="1" x14ac:dyDescent="0.25"/>
    <row r="119" spans="1:8" ht="17" thickBot="1" x14ac:dyDescent="0.25">
      <c r="A119" s="50" t="s">
        <v>678</v>
      </c>
      <c r="B119" s="51"/>
      <c r="C119" s="51"/>
      <c r="D119" s="51"/>
      <c r="E119" s="51"/>
      <c r="F119" s="51"/>
      <c r="G119" s="51"/>
      <c r="H119" s="52"/>
    </row>
    <row r="120" spans="1:8" x14ac:dyDescent="0.2">
      <c r="A120" s="1" t="s">
        <v>626</v>
      </c>
    </row>
    <row r="122" spans="1:8" x14ac:dyDescent="0.2">
      <c r="C122" s="75" t="s">
        <v>389</v>
      </c>
      <c r="D122" s="75" t="s">
        <v>538</v>
      </c>
      <c r="F122" s="4"/>
    </row>
    <row r="123" spans="1:8" x14ac:dyDescent="0.2">
      <c r="C123" s="21" t="s">
        <v>536</v>
      </c>
      <c r="D123" s="21">
        <v>30</v>
      </c>
      <c r="F123" s="4"/>
    </row>
    <row r="124" spans="1:8" x14ac:dyDescent="0.2">
      <c r="C124" s="21" t="s">
        <v>537</v>
      </c>
      <c r="D124" s="21">
        <v>10</v>
      </c>
      <c r="F124" s="4"/>
    </row>
    <row r="125" spans="1:8" x14ac:dyDescent="0.2">
      <c r="C125" s="21" t="s">
        <v>391</v>
      </c>
      <c r="D125" s="21">
        <v>40</v>
      </c>
    </row>
    <row r="126" spans="1:8" x14ac:dyDescent="0.2">
      <c r="C126" s="21" t="s">
        <v>526</v>
      </c>
      <c r="D126" s="21">
        <v>30</v>
      </c>
    </row>
    <row r="128" spans="1:8" x14ac:dyDescent="0.2">
      <c r="A128" s="1" t="s">
        <v>679</v>
      </c>
    </row>
    <row r="129" spans="1:8" x14ac:dyDescent="0.2">
      <c r="A129" s="1" t="s">
        <v>680</v>
      </c>
    </row>
    <row r="130" spans="1:8" x14ac:dyDescent="0.2">
      <c r="A130" s="1" t="s">
        <v>681</v>
      </c>
    </row>
    <row r="131" spans="1:8" x14ac:dyDescent="0.2">
      <c r="A131" s="1" t="s">
        <v>627</v>
      </c>
    </row>
    <row r="132" spans="1:8" x14ac:dyDescent="0.2">
      <c r="A132" s="1" t="s">
        <v>628</v>
      </c>
    </row>
    <row r="133" spans="1:8" x14ac:dyDescent="0.2">
      <c r="A133" s="1" t="s">
        <v>629</v>
      </c>
    </row>
    <row r="134" spans="1:8" x14ac:dyDescent="0.2">
      <c r="A134" s="112" t="s">
        <v>739</v>
      </c>
      <c r="B134" s="109"/>
      <c r="C134" s="109"/>
      <c r="D134" s="109"/>
      <c r="E134" s="109"/>
      <c r="F134" s="109"/>
      <c r="G134" s="109"/>
      <c r="H134" s="109"/>
    </row>
    <row r="135" spans="1:8" x14ac:dyDescent="0.2">
      <c r="A135" s="1" t="s">
        <v>626</v>
      </c>
    </row>
    <row r="137" spans="1:8" x14ac:dyDescent="0.2">
      <c r="C137" s="75" t="s">
        <v>389</v>
      </c>
      <c r="D137" s="75" t="s">
        <v>538</v>
      </c>
      <c r="F137" s="4"/>
    </row>
    <row r="138" spans="1:8" x14ac:dyDescent="0.2">
      <c r="C138" s="21" t="s">
        <v>536</v>
      </c>
      <c r="D138" s="21">
        <v>30</v>
      </c>
      <c r="F138" s="4"/>
    </row>
    <row r="139" spans="1:8" x14ac:dyDescent="0.2">
      <c r="C139" s="21" t="s">
        <v>537</v>
      </c>
      <c r="D139" s="21">
        <v>10</v>
      </c>
      <c r="F139" s="4"/>
    </row>
    <row r="140" spans="1:8" x14ac:dyDescent="0.2">
      <c r="C140" s="21" t="s">
        <v>391</v>
      </c>
      <c r="D140" s="21">
        <v>40</v>
      </c>
    </row>
    <row r="141" spans="1:8" x14ac:dyDescent="0.2">
      <c r="C141" s="21" t="s">
        <v>526</v>
      </c>
      <c r="D141" s="21">
        <v>30</v>
      </c>
    </row>
    <row r="142" spans="1:8" ht="17" thickBot="1" x14ac:dyDescent="0.25"/>
    <row r="143" spans="1:8" x14ac:dyDescent="0.2">
      <c r="A143" s="46" t="s">
        <v>679</v>
      </c>
      <c r="B143" s="39"/>
      <c r="C143" s="39"/>
      <c r="D143" s="39"/>
      <c r="E143" s="39"/>
      <c r="F143" s="39"/>
      <c r="G143" s="39"/>
      <c r="H143" s="40"/>
    </row>
    <row r="144" spans="1:8" ht="17" thickBot="1" x14ac:dyDescent="0.25">
      <c r="A144" s="110" t="s">
        <v>680</v>
      </c>
      <c r="B144" s="44"/>
      <c r="C144" s="44"/>
      <c r="D144" s="44"/>
      <c r="E144" s="44"/>
      <c r="F144" s="44"/>
      <c r="G144" s="44"/>
      <c r="H144" s="45"/>
    </row>
    <row r="146" spans="1:8" x14ac:dyDescent="0.2">
      <c r="A146" s="1" t="s">
        <v>684</v>
      </c>
    </row>
    <row r="147" spans="1:8" x14ac:dyDescent="0.2">
      <c r="A147" s="1" t="s">
        <v>686</v>
      </c>
    </row>
    <row r="148" spans="1:8" x14ac:dyDescent="0.2">
      <c r="A148" s="1" t="s">
        <v>687</v>
      </c>
    </row>
    <row r="149" spans="1:8" x14ac:dyDescent="0.2">
      <c r="A149" s="1" t="s">
        <v>685</v>
      </c>
    </row>
    <row r="151" spans="1:8" x14ac:dyDescent="0.2">
      <c r="A151" s="1" t="s">
        <v>688</v>
      </c>
      <c r="D151" s="1" t="s">
        <v>689</v>
      </c>
      <c r="E151" s="1" t="s">
        <v>701</v>
      </c>
    </row>
    <row r="152" spans="1:8" x14ac:dyDescent="0.2">
      <c r="A152" s="21" t="s">
        <v>697</v>
      </c>
      <c r="B152" s="1" t="s">
        <v>698</v>
      </c>
      <c r="D152" s="1" t="s">
        <v>690</v>
      </c>
      <c r="E152" s="1" t="s">
        <v>702</v>
      </c>
    </row>
    <row r="153" spans="1:8" x14ac:dyDescent="0.2">
      <c r="A153" s="21" t="s">
        <v>699</v>
      </c>
      <c r="B153" s="1" t="s">
        <v>700</v>
      </c>
      <c r="D153" s="1" t="s">
        <v>694</v>
      </c>
      <c r="E153" s="1" t="s">
        <v>703</v>
      </c>
    </row>
    <row r="154" spans="1:8" x14ac:dyDescent="0.2">
      <c r="D154" s="1" t="s">
        <v>695</v>
      </c>
      <c r="E154" s="1" t="s">
        <v>704</v>
      </c>
    </row>
    <row r="155" spans="1:8" x14ac:dyDescent="0.2">
      <c r="D155" s="1" t="s">
        <v>691</v>
      </c>
      <c r="E155" s="1" t="s">
        <v>705</v>
      </c>
    </row>
    <row r="156" spans="1:8" x14ac:dyDescent="0.2">
      <c r="D156" s="1" t="s">
        <v>693</v>
      </c>
      <c r="E156" s="1" t="s">
        <v>706</v>
      </c>
    </row>
    <row r="157" spans="1:8" x14ac:dyDescent="0.2">
      <c r="D157" s="1" t="s">
        <v>692</v>
      </c>
      <c r="E157" s="1" t="s">
        <v>707</v>
      </c>
    </row>
    <row r="158" spans="1:8" x14ac:dyDescent="0.2">
      <c r="D158" s="1" t="s">
        <v>696</v>
      </c>
      <c r="E158" s="1" t="s">
        <v>708</v>
      </c>
    </row>
    <row r="159" spans="1:8" ht="17" thickBot="1" x14ac:dyDescent="0.25"/>
    <row r="160" spans="1:8" x14ac:dyDescent="0.2">
      <c r="A160" s="46" t="s">
        <v>681</v>
      </c>
      <c r="B160" s="39"/>
      <c r="C160" s="39"/>
      <c r="D160" s="39"/>
      <c r="E160" s="39"/>
      <c r="F160" s="39"/>
      <c r="G160" s="39"/>
      <c r="H160" s="40"/>
    </row>
    <row r="161" spans="1:8" x14ac:dyDescent="0.2">
      <c r="A161" s="111" t="s">
        <v>627</v>
      </c>
      <c r="H161" s="42"/>
    </row>
    <row r="162" spans="1:8" x14ac:dyDescent="0.2">
      <c r="A162" s="111" t="s">
        <v>628</v>
      </c>
      <c r="H162" s="42"/>
    </row>
    <row r="163" spans="1:8" ht="17" thickBot="1" x14ac:dyDescent="0.25">
      <c r="A163" s="110" t="s">
        <v>629</v>
      </c>
      <c r="B163" s="44"/>
      <c r="C163" s="44"/>
      <c r="D163" s="44"/>
      <c r="E163" s="44"/>
      <c r="F163" s="44"/>
      <c r="G163" s="44"/>
      <c r="H163" s="45"/>
    </row>
    <row r="165" spans="1:8" x14ac:dyDescent="0.2">
      <c r="A165" s="1" t="s">
        <v>709</v>
      </c>
      <c r="C165" s="75" t="s">
        <v>389</v>
      </c>
      <c r="D165" s="75" t="s">
        <v>538</v>
      </c>
    </row>
    <row r="166" spans="1:8" x14ac:dyDescent="0.2">
      <c r="C166" s="21" t="s">
        <v>536</v>
      </c>
      <c r="D166" s="21">
        <v>30</v>
      </c>
    </row>
    <row r="167" spans="1:8" x14ac:dyDescent="0.2">
      <c r="C167" s="21" t="s">
        <v>537</v>
      </c>
      <c r="D167" s="21">
        <v>10</v>
      </c>
    </row>
    <row r="168" spans="1:8" x14ac:dyDescent="0.2">
      <c r="C168" s="21" t="s">
        <v>391</v>
      </c>
      <c r="D168" s="21">
        <v>40</v>
      </c>
    </row>
    <row r="169" spans="1:8" x14ac:dyDescent="0.2">
      <c r="C169" s="21" t="s">
        <v>526</v>
      </c>
      <c r="D169" s="21">
        <v>30</v>
      </c>
    </row>
    <row r="171" spans="1:8" x14ac:dyDescent="0.2">
      <c r="A171" s="1" t="s">
        <v>710</v>
      </c>
    </row>
    <row r="172" spans="1:8" x14ac:dyDescent="0.2">
      <c r="A172" s="1" t="s">
        <v>711</v>
      </c>
    </row>
    <row r="173" spans="1:8" x14ac:dyDescent="0.2">
      <c r="A173" s="1" t="s">
        <v>712</v>
      </c>
    </row>
    <row r="175" spans="1:8" x14ac:dyDescent="0.2">
      <c r="A175" s="4" t="s">
        <v>713</v>
      </c>
    </row>
    <row r="176" spans="1:8" x14ac:dyDescent="0.2">
      <c r="A176" s="1" t="s">
        <v>714</v>
      </c>
    </row>
    <row r="177" spans="1:7" x14ac:dyDescent="0.2">
      <c r="A177" s="1" t="s">
        <v>715</v>
      </c>
    </row>
    <row r="178" spans="1:7" x14ac:dyDescent="0.2">
      <c r="A178" s="1" t="s">
        <v>716</v>
      </c>
    </row>
    <row r="179" spans="1:7" x14ac:dyDescent="0.2">
      <c r="A179" s="1" t="s">
        <v>717</v>
      </c>
    </row>
    <row r="180" spans="1:7" x14ac:dyDescent="0.2">
      <c r="C180" s="57"/>
      <c r="D180" s="57"/>
      <c r="E180" s="57" t="s">
        <v>718</v>
      </c>
      <c r="F180" s="1" t="s">
        <v>723</v>
      </c>
    </row>
    <row r="181" spans="1:7" x14ac:dyDescent="0.2">
      <c r="E181" s="1" t="s">
        <v>719</v>
      </c>
    </row>
    <row r="182" spans="1:7" x14ac:dyDescent="0.2">
      <c r="E182" s="1" t="s">
        <v>720</v>
      </c>
    </row>
    <row r="183" spans="1:7" x14ac:dyDescent="0.2">
      <c r="A183" s="1" t="s">
        <v>721</v>
      </c>
    </row>
    <row r="184" spans="1:7" x14ac:dyDescent="0.2">
      <c r="A184" s="1" t="s">
        <v>722</v>
      </c>
    </row>
    <row r="186" spans="1:7" x14ac:dyDescent="0.2">
      <c r="E186" s="1" t="s">
        <v>213</v>
      </c>
    </row>
    <row r="187" spans="1:7" x14ac:dyDescent="0.2">
      <c r="E187" s="21" t="s">
        <v>280</v>
      </c>
    </row>
    <row r="188" spans="1:7" x14ac:dyDescent="0.2">
      <c r="G188" s="1" t="s">
        <v>724</v>
      </c>
    </row>
    <row r="189" spans="1:7" x14ac:dyDescent="0.2">
      <c r="G189" s="1" t="s">
        <v>725</v>
      </c>
    </row>
    <row r="193" spans="1:7" x14ac:dyDescent="0.2">
      <c r="A193" s="1" t="s">
        <v>69</v>
      </c>
      <c r="B193" s="21" t="s">
        <v>71</v>
      </c>
    </row>
    <row r="195" spans="1:7" x14ac:dyDescent="0.2">
      <c r="F195" s="363" t="s">
        <v>726</v>
      </c>
      <c r="G195" s="343"/>
    </row>
    <row r="196" spans="1:7" x14ac:dyDescent="0.2">
      <c r="F196" s="343"/>
      <c r="G196" s="343"/>
    </row>
    <row r="198" spans="1:7" x14ac:dyDescent="0.2">
      <c r="A198" s="1" t="s">
        <v>727</v>
      </c>
    </row>
    <row r="199" spans="1:7" x14ac:dyDescent="0.2">
      <c r="A199" s="1" t="s">
        <v>728</v>
      </c>
    </row>
    <row r="200" spans="1:7" x14ac:dyDescent="0.2">
      <c r="A200" s="1" t="s">
        <v>729</v>
      </c>
    </row>
    <row r="202" spans="1:7" x14ac:dyDescent="0.2">
      <c r="A202" s="1" t="s">
        <v>730</v>
      </c>
    </row>
    <row r="203" spans="1:7" x14ac:dyDescent="0.2">
      <c r="A203" s="1" t="s">
        <v>731</v>
      </c>
    </row>
    <row r="204" spans="1:7" x14ac:dyDescent="0.2">
      <c r="A204" s="1" t="s">
        <v>732</v>
      </c>
    </row>
    <row r="205" spans="1:7" x14ac:dyDescent="0.2">
      <c r="A205" s="1" t="s">
        <v>733</v>
      </c>
    </row>
    <row r="207" spans="1:7" x14ac:dyDescent="0.2">
      <c r="A207" s="1" t="s">
        <v>734</v>
      </c>
      <c r="E207" s="1" t="s">
        <v>213</v>
      </c>
    </row>
    <row r="208" spans="1:7" x14ac:dyDescent="0.2">
      <c r="E208" s="21" t="s">
        <v>280</v>
      </c>
    </row>
    <row r="214" spans="1:2" x14ac:dyDescent="0.2">
      <c r="B214" s="21" t="s">
        <v>71</v>
      </c>
    </row>
    <row r="219" spans="1:2" x14ac:dyDescent="0.2">
      <c r="A219" s="1" t="s">
        <v>735</v>
      </c>
    </row>
    <row r="220" spans="1:2" x14ac:dyDescent="0.2">
      <c r="A220" s="1" t="s">
        <v>736</v>
      </c>
    </row>
    <row r="221" spans="1:2" x14ac:dyDescent="0.2">
      <c r="A221" s="1" t="s">
        <v>737</v>
      </c>
    </row>
    <row r="222" spans="1:2" x14ac:dyDescent="0.2">
      <c r="A222" s="1" t="s">
        <v>738</v>
      </c>
    </row>
  </sheetData>
  <mergeCells count="1">
    <mergeCell ref="F195:G196"/>
  </mergeCells>
  <phoneticPr fontId="17" type="noConversion"/>
  <pageMargins left="0.7" right="0.7" top="0.75" bottom="0.75" header="0.3" footer="0.3"/>
  <pageSetup paperSize="9" scale="83" orientation="portrait" horizontalDpi="0" verticalDpi="0"/>
  <rowBreaks count="2" manualBreakCount="2">
    <brk id="118" max="16383" man="1"/>
    <brk id="174" max="16383" man="1"/>
  </row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126"/>
  <sheetViews>
    <sheetView rightToLeft="1" zoomScale="211" zoomScaleNormal="92" zoomScaleSheetLayoutView="150" workbookViewId="0">
      <selection activeCell="A17" sqref="A17:G2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1682</v>
      </c>
      <c r="B1" s="2"/>
      <c r="C1" s="2"/>
      <c r="D1" s="2"/>
      <c r="E1" s="2"/>
      <c r="F1" s="2"/>
      <c r="G1" s="2"/>
      <c r="H1" s="3">
        <v>45315</v>
      </c>
    </row>
    <row r="2" spans="1:8" ht="17" thickBot="1" x14ac:dyDescent="0.25"/>
    <row r="3" spans="1:8" s="1" customFormat="1" ht="28" x14ac:dyDescent="0.3">
      <c r="A3" s="237" t="s">
        <v>1678</v>
      </c>
      <c r="B3" s="118"/>
      <c r="C3" s="118"/>
      <c r="D3" s="118"/>
      <c r="E3" s="118"/>
      <c r="F3" s="118"/>
      <c r="G3" s="39"/>
      <c r="H3" s="40"/>
    </row>
    <row r="4" spans="1:8" s="25" customFormat="1" x14ac:dyDescent="0.2">
      <c r="A4" s="26" t="s">
        <v>659</v>
      </c>
      <c r="B4" s="108" t="s">
        <v>660</v>
      </c>
      <c r="H4" s="27"/>
    </row>
    <row r="5" spans="1:8" s="25" customFormat="1" x14ac:dyDescent="0.2">
      <c r="A5" s="26" t="s">
        <v>661</v>
      </c>
      <c r="B5" s="25" t="s">
        <v>1660</v>
      </c>
      <c r="H5" s="27"/>
    </row>
    <row r="6" spans="1:8" s="25" customFormat="1" x14ac:dyDescent="0.2">
      <c r="A6" s="26" t="s">
        <v>662</v>
      </c>
      <c r="B6" s="25" t="s">
        <v>1689</v>
      </c>
      <c r="H6" s="27"/>
    </row>
    <row r="7" spans="1:8" s="25" customFormat="1" x14ac:dyDescent="0.2">
      <c r="A7" s="26" t="s">
        <v>663</v>
      </c>
      <c r="B7" s="25" t="s">
        <v>664</v>
      </c>
      <c r="H7" s="27"/>
    </row>
    <row r="8" spans="1:8" s="25" customFormat="1" x14ac:dyDescent="0.2">
      <c r="A8" s="26" t="s">
        <v>674</v>
      </c>
      <c r="B8" s="25" t="s">
        <v>1661</v>
      </c>
      <c r="H8" s="27"/>
    </row>
    <row r="9" spans="1:8" s="25" customFormat="1" x14ac:dyDescent="0.2">
      <c r="A9" s="26"/>
      <c r="B9" s="25" t="s">
        <v>1679</v>
      </c>
      <c r="H9" s="27"/>
    </row>
    <row r="10" spans="1:8" s="25" customFormat="1" x14ac:dyDescent="0.2">
      <c r="A10" s="26" t="s">
        <v>676</v>
      </c>
      <c r="B10" s="25" t="s">
        <v>1680</v>
      </c>
      <c r="H10" s="27"/>
    </row>
    <row r="11" spans="1:8" s="25" customFormat="1" x14ac:dyDescent="0.2">
      <c r="A11" s="26" t="s">
        <v>677</v>
      </c>
      <c r="B11" s="25" t="s">
        <v>1681</v>
      </c>
      <c r="H11" s="27"/>
    </row>
    <row r="12" spans="1:8" s="25" customFormat="1" x14ac:dyDescent="0.2">
      <c r="A12" s="26" t="s">
        <v>1690</v>
      </c>
      <c r="H12" s="27"/>
    </row>
    <row r="13" spans="1:8" s="25" customFormat="1" x14ac:dyDescent="0.2">
      <c r="A13" s="26"/>
      <c r="H13" s="27"/>
    </row>
    <row r="14" spans="1:8" s="25" customFormat="1" x14ac:dyDescent="0.2">
      <c r="A14" s="26"/>
      <c r="G14" s="25" t="s">
        <v>1684</v>
      </c>
      <c r="H14" s="27"/>
    </row>
    <row r="15" spans="1:8" s="1" customFormat="1" x14ac:dyDescent="0.2">
      <c r="A15" s="41"/>
      <c r="G15" s="1" t="s">
        <v>1685</v>
      </c>
      <c r="H15" s="42"/>
    </row>
    <row r="16" spans="1:8" s="1" customFormat="1" x14ac:dyDescent="0.2">
      <c r="A16" s="236" t="s">
        <v>747</v>
      </c>
      <c r="B16" s="38" t="s">
        <v>211</v>
      </c>
      <c r="C16" s="38"/>
      <c r="D16" s="38"/>
      <c r="E16" s="38"/>
      <c r="F16" s="38"/>
      <c r="G16" s="38" t="s">
        <v>1683</v>
      </c>
      <c r="H16" s="77"/>
    </row>
    <row r="17" spans="1:8" s="1" customFormat="1" x14ac:dyDescent="0.2">
      <c r="A17" s="41" t="s">
        <v>665</v>
      </c>
      <c r="B17" s="1" t="s">
        <v>1686</v>
      </c>
      <c r="G17" s="1">
        <v>1.5</v>
      </c>
      <c r="H17" s="42"/>
    </row>
    <row r="18" spans="1:8" s="1" customFormat="1" x14ac:dyDescent="0.2">
      <c r="A18" s="41" t="s">
        <v>667</v>
      </c>
      <c r="B18" s="1" t="s">
        <v>668</v>
      </c>
      <c r="G18" s="1">
        <v>2</v>
      </c>
      <c r="H18" s="42"/>
    </row>
    <row r="19" spans="1:8" s="1" customFormat="1" x14ac:dyDescent="0.2">
      <c r="A19" s="41" t="s">
        <v>669</v>
      </c>
      <c r="B19" s="1" t="s">
        <v>670</v>
      </c>
      <c r="G19" s="1">
        <v>2.5</v>
      </c>
      <c r="H19" s="42"/>
    </row>
    <row r="20" spans="1:8" s="1" customFormat="1" x14ac:dyDescent="0.2">
      <c r="A20" s="41" t="s">
        <v>671</v>
      </c>
      <c r="B20" s="1" t="s">
        <v>1606</v>
      </c>
      <c r="G20" s="1">
        <v>3.5</v>
      </c>
      <c r="H20" s="42"/>
    </row>
    <row r="21" spans="1:8" s="1" customFormat="1" x14ac:dyDescent="0.2">
      <c r="A21" s="41" t="s">
        <v>672</v>
      </c>
      <c r="B21" s="1" t="s">
        <v>1607</v>
      </c>
      <c r="G21" s="1">
        <v>4.25</v>
      </c>
      <c r="H21" s="42"/>
    </row>
    <row r="22" spans="1:8" s="1" customFormat="1" ht="17" thickBot="1" x14ac:dyDescent="0.25">
      <c r="A22" s="43"/>
      <c r="B22" s="44"/>
      <c r="C22" s="44"/>
      <c r="D22" s="44"/>
      <c r="E22" s="44"/>
      <c r="F22" s="44"/>
      <c r="G22" s="44"/>
      <c r="H22" s="45"/>
    </row>
    <row r="23" spans="1:8" x14ac:dyDescent="0.2">
      <c r="C23" s="121"/>
    </row>
    <row r="24" spans="1:8" ht="17" thickBot="1" x14ac:dyDescent="0.25">
      <c r="A24" s="4" t="s">
        <v>1688</v>
      </c>
      <c r="C24" s="121"/>
    </row>
    <row r="25" spans="1:8" x14ac:dyDescent="0.2">
      <c r="A25" s="97" t="s">
        <v>1718</v>
      </c>
      <c r="B25" s="113" t="s">
        <v>1665</v>
      </c>
      <c r="C25" s="113" t="s">
        <v>1666</v>
      </c>
      <c r="D25" s="113" t="s">
        <v>1667</v>
      </c>
      <c r="E25" s="113"/>
      <c r="F25" s="113"/>
      <c r="G25" s="113"/>
      <c r="H25" s="114"/>
    </row>
    <row r="26" spans="1:8" x14ac:dyDescent="0.2">
      <c r="A26" s="238">
        <v>45315</v>
      </c>
      <c r="B26" s="239">
        <v>0.33333333333333331</v>
      </c>
      <c r="C26" s="239">
        <v>0.39583333333333331</v>
      </c>
      <c r="D26" s="1" t="s">
        <v>1668</v>
      </c>
      <c r="E26" s="1"/>
      <c r="F26" s="1"/>
      <c r="G26" s="1"/>
      <c r="H26" s="42"/>
    </row>
    <row r="27" spans="1:8" x14ac:dyDescent="0.2">
      <c r="A27" s="238">
        <v>45336</v>
      </c>
      <c r="B27" s="239">
        <v>0.86458333333333337</v>
      </c>
      <c r="C27" s="239">
        <v>0.92708333333333337</v>
      </c>
      <c r="D27" s="1" t="s">
        <v>1669</v>
      </c>
      <c r="E27" s="1"/>
      <c r="F27" s="1"/>
      <c r="G27" s="1"/>
      <c r="H27" s="42"/>
    </row>
    <row r="28" spans="1:8" x14ac:dyDescent="0.2">
      <c r="A28" s="238">
        <v>45337</v>
      </c>
      <c r="B28" s="239">
        <v>0.375</v>
      </c>
      <c r="C28" s="239">
        <v>0.4375</v>
      </c>
      <c r="D28" s="1" t="s">
        <v>1669</v>
      </c>
      <c r="E28" s="1"/>
      <c r="F28" s="1"/>
      <c r="G28" s="1"/>
      <c r="H28" s="42"/>
    </row>
    <row r="29" spans="1:8" x14ac:dyDescent="0.2">
      <c r="A29" s="238">
        <v>45340</v>
      </c>
      <c r="B29" s="239">
        <v>0.84375</v>
      </c>
      <c r="C29" s="239">
        <v>0.90625</v>
      </c>
      <c r="D29" s="1" t="s">
        <v>1670</v>
      </c>
      <c r="E29" s="1"/>
      <c r="F29" s="1"/>
      <c r="G29" s="1"/>
      <c r="H29" s="42"/>
    </row>
    <row r="30" spans="1:8" ht="17" thickBot="1" x14ac:dyDescent="0.25">
      <c r="A30" s="242">
        <v>45342</v>
      </c>
      <c r="B30" s="243">
        <v>0.375</v>
      </c>
      <c r="C30" s="243">
        <v>0.5</v>
      </c>
      <c r="D30" s="244" t="s">
        <v>1671</v>
      </c>
      <c r="E30" s="44"/>
      <c r="F30" s="44"/>
      <c r="G30" s="44"/>
      <c r="H30" s="45"/>
    </row>
    <row r="31" spans="1:8" ht="17" thickBot="1" x14ac:dyDescent="0.25">
      <c r="C31" s="121"/>
    </row>
    <row r="32" spans="1:8" x14ac:dyDescent="0.2">
      <c r="A32" s="46" t="s">
        <v>1687</v>
      </c>
      <c r="B32" s="39"/>
      <c r="C32" s="240"/>
      <c r="D32" s="39"/>
      <c r="E32" s="39"/>
      <c r="F32" s="39"/>
      <c r="G32" s="39"/>
      <c r="H32" s="40"/>
    </row>
    <row r="33" spans="1:8" ht="17" thickBot="1" x14ac:dyDescent="0.25">
      <c r="A33" s="43" t="s">
        <v>1672</v>
      </c>
      <c r="B33" s="44"/>
      <c r="C33" s="241"/>
      <c r="D33" s="44"/>
      <c r="E33" s="44"/>
      <c r="F33" s="44"/>
      <c r="G33" s="44"/>
      <c r="H33" s="45"/>
    </row>
    <row r="34" spans="1:8" x14ac:dyDescent="0.2">
      <c r="A34" s="1"/>
      <c r="B34" s="1"/>
      <c r="C34" s="13"/>
      <c r="D34" s="1"/>
      <c r="E34" s="1"/>
      <c r="F34" s="1"/>
      <c r="G34" s="1"/>
      <c r="H34" s="1"/>
    </row>
    <row r="35" spans="1:8" x14ac:dyDescent="0.2">
      <c r="A35" s="1"/>
      <c r="B35" s="1"/>
      <c r="C35" s="13"/>
      <c r="D35" s="1"/>
      <c r="E35" s="1"/>
      <c r="F35" s="1"/>
      <c r="G35" s="1"/>
      <c r="H35" s="1"/>
    </row>
    <row r="36" spans="1:8" x14ac:dyDescent="0.2">
      <c r="A36" s="1"/>
      <c r="B36" s="1"/>
      <c r="C36" s="13"/>
      <c r="D36" s="1"/>
      <c r="E36" s="1"/>
      <c r="F36" s="1"/>
      <c r="G36" s="1"/>
      <c r="H36" s="1"/>
    </row>
    <row r="37" spans="1:8" x14ac:dyDescent="0.2">
      <c r="A37" s="1"/>
      <c r="B37" s="1"/>
      <c r="C37" s="13"/>
      <c r="D37" s="1"/>
      <c r="E37" s="1"/>
      <c r="F37" s="1"/>
      <c r="G37" s="1"/>
      <c r="H37" s="1"/>
    </row>
    <row r="38" spans="1:8" x14ac:dyDescent="0.2">
      <c r="A38" s="1"/>
      <c r="B38" s="1"/>
      <c r="C38" s="13"/>
      <c r="D38" s="1"/>
      <c r="E38" s="1"/>
      <c r="F38" s="1"/>
      <c r="G38" s="1"/>
      <c r="H38" s="1"/>
    </row>
    <row r="39" spans="1:8" x14ac:dyDescent="0.2">
      <c r="A39" s="1"/>
      <c r="B39" s="1"/>
      <c r="C39" s="13"/>
      <c r="D39" s="1"/>
      <c r="E39" s="1"/>
      <c r="F39" s="1"/>
      <c r="G39" s="1"/>
      <c r="H39" s="1"/>
    </row>
    <row r="40" spans="1:8" ht="17" thickBot="1" x14ac:dyDescent="0.25">
      <c r="A40" s="4" t="s">
        <v>1673</v>
      </c>
      <c r="B40" s="1"/>
      <c r="C40" s="13"/>
      <c r="D40" s="1"/>
      <c r="E40" s="1"/>
      <c r="F40" s="1"/>
      <c r="G40" s="1"/>
      <c r="H40" s="1"/>
    </row>
    <row r="41" spans="1:8" x14ac:dyDescent="0.2">
      <c r="A41" s="97" t="s">
        <v>1674</v>
      </c>
      <c r="B41" s="39"/>
      <c r="C41" s="240"/>
      <c r="D41" s="39"/>
      <c r="E41" s="39"/>
      <c r="F41" s="39"/>
      <c r="G41" s="39"/>
      <c r="H41" s="40"/>
    </row>
    <row r="42" spans="1:8" x14ac:dyDescent="0.2">
      <c r="A42" s="41" t="s">
        <v>1691</v>
      </c>
      <c r="B42" s="1"/>
      <c r="C42" s="13"/>
      <c r="D42" s="1"/>
      <c r="E42" s="1"/>
      <c r="F42" s="1"/>
      <c r="G42" s="1"/>
      <c r="H42" s="42"/>
    </row>
    <row r="43" spans="1:8" x14ac:dyDescent="0.2">
      <c r="A43" s="41" t="s">
        <v>1677</v>
      </c>
      <c r="B43" s="1"/>
      <c r="C43" s="13"/>
      <c r="D43" s="1"/>
      <c r="E43" s="1"/>
      <c r="F43" s="1"/>
      <c r="G43" s="1"/>
      <c r="H43" s="42"/>
    </row>
    <row r="44" spans="1:8" x14ac:dyDescent="0.2">
      <c r="A44" s="41" t="s">
        <v>1675</v>
      </c>
      <c r="B44" s="1"/>
      <c r="C44" s="13"/>
      <c r="D44" s="1"/>
      <c r="E44" s="1"/>
      <c r="F44" s="1"/>
      <c r="G44" s="1"/>
      <c r="H44" s="42"/>
    </row>
    <row r="45" spans="1:8" ht="17" thickBot="1" x14ac:dyDescent="0.25">
      <c r="A45" s="43" t="s">
        <v>1676</v>
      </c>
      <c r="B45" s="44"/>
      <c r="C45" s="241"/>
      <c r="D45" s="44"/>
      <c r="E45" s="44"/>
      <c r="F45" s="44"/>
      <c r="G45" s="44"/>
      <c r="H45" s="45"/>
    </row>
    <row r="47" spans="1:8" s="1" customFormat="1" x14ac:dyDescent="0.2">
      <c r="A47" s="117" t="s">
        <v>750</v>
      </c>
      <c r="B47" s="117"/>
      <c r="C47" s="117"/>
      <c r="D47" s="117"/>
      <c r="E47" s="117"/>
      <c r="F47" s="117"/>
      <c r="G47" s="117" t="s">
        <v>755</v>
      </c>
      <c r="H47" s="117"/>
    </row>
    <row r="48" spans="1:8" s="1" customFormat="1" x14ac:dyDescent="0.2">
      <c r="A48" s="1" t="s">
        <v>743</v>
      </c>
      <c r="G48" s="13"/>
    </row>
    <row r="49" spans="1:7" s="1" customFormat="1" x14ac:dyDescent="0.2">
      <c r="A49" s="1" t="s">
        <v>744</v>
      </c>
      <c r="G49" s="13"/>
    </row>
    <row r="50" spans="1:7" s="1" customFormat="1" x14ac:dyDescent="0.2">
      <c r="A50" s="1" t="s">
        <v>745</v>
      </c>
      <c r="G50" s="13"/>
    </row>
    <row r="51" spans="1:7" s="1" customFormat="1" x14ac:dyDescent="0.2">
      <c r="A51" s="1" t="s">
        <v>746</v>
      </c>
      <c r="G51" s="4"/>
    </row>
    <row r="52" spans="1:7" s="1" customFormat="1" x14ac:dyDescent="0.2"/>
    <row r="53" spans="1:7" s="1" customFormat="1" x14ac:dyDescent="0.2">
      <c r="A53" s="1" t="s">
        <v>748</v>
      </c>
    </row>
    <row r="54" spans="1:7" s="1" customFormat="1" x14ac:dyDescent="0.2">
      <c r="A54" s="1" t="s">
        <v>749</v>
      </c>
    </row>
    <row r="55" spans="1:7" x14ac:dyDescent="0.2">
      <c r="A55" s="1" t="s">
        <v>751</v>
      </c>
    </row>
    <row r="56" spans="1:7" x14ac:dyDescent="0.2">
      <c r="A56" s="1" t="s">
        <v>752</v>
      </c>
    </row>
    <row r="57" spans="1:7" x14ac:dyDescent="0.2">
      <c r="A57" s="1" t="s">
        <v>753</v>
      </c>
      <c r="D57" s="13" t="s">
        <v>1734</v>
      </c>
    </row>
    <row r="58" spans="1:7" x14ac:dyDescent="0.2">
      <c r="A58" s="1" t="s">
        <v>754</v>
      </c>
    </row>
    <row r="60" spans="1:7" x14ac:dyDescent="0.2">
      <c r="A60" s="1" t="s">
        <v>739</v>
      </c>
    </row>
    <row r="61" spans="1:7" x14ac:dyDescent="0.2">
      <c r="A61" s="1" t="s">
        <v>1692</v>
      </c>
    </row>
    <row r="62" spans="1:7" x14ac:dyDescent="0.2">
      <c r="A62" s="1" t="s">
        <v>1693</v>
      </c>
    </row>
    <row r="63" spans="1:7" x14ac:dyDescent="0.2">
      <c r="A63" s="1" t="s">
        <v>1694</v>
      </c>
    </row>
    <row r="64" spans="1:7" x14ac:dyDescent="0.2">
      <c r="A64" s="1"/>
    </row>
    <row r="65" spans="1:8" x14ac:dyDescent="0.2">
      <c r="A65" s="4" t="s">
        <v>1695</v>
      </c>
    </row>
    <row r="66" spans="1:8" x14ac:dyDescent="0.2">
      <c r="A66" s="1" t="s">
        <v>1696</v>
      </c>
    </row>
    <row r="67" spans="1:8" x14ac:dyDescent="0.2">
      <c r="A67" s="1" t="s">
        <v>1697</v>
      </c>
    </row>
    <row r="69" spans="1:8" x14ac:dyDescent="0.2">
      <c r="A69" s="4" t="s">
        <v>1698</v>
      </c>
    </row>
    <row r="70" spans="1:8" x14ac:dyDescent="0.2">
      <c r="A70" s="1" t="s">
        <v>1699</v>
      </c>
    </row>
    <row r="71" spans="1:8" ht="17" thickBot="1" x14ac:dyDescent="0.25"/>
    <row r="72" spans="1:8" ht="17" thickBot="1" x14ac:dyDescent="0.25">
      <c r="A72" s="5" t="s">
        <v>1707</v>
      </c>
      <c r="B72" s="8"/>
      <c r="C72" s="8"/>
      <c r="D72" s="8"/>
      <c r="E72" s="8"/>
      <c r="F72" s="8"/>
      <c r="G72" s="9"/>
      <c r="H72" s="4"/>
    </row>
    <row r="74" spans="1:8" x14ac:dyDescent="0.2">
      <c r="A74" s="1"/>
      <c r="B74" s="21" t="s">
        <v>280</v>
      </c>
      <c r="C74" s="21" t="s">
        <v>280</v>
      </c>
      <c r="D74" s="21" t="s">
        <v>280</v>
      </c>
      <c r="E74" s="21" t="s">
        <v>280</v>
      </c>
      <c r="F74" s="1"/>
      <c r="G74" s="1"/>
    </row>
    <row r="75" spans="1:8" x14ac:dyDescent="0.2">
      <c r="A75" s="245" t="s">
        <v>71</v>
      </c>
      <c r="B75" s="75" t="s">
        <v>1700</v>
      </c>
      <c r="C75" s="75" t="s">
        <v>1701</v>
      </c>
      <c r="D75" s="75" t="s">
        <v>1702</v>
      </c>
      <c r="E75" s="75" t="s">
        <v>1341</v>
      </c>
      <c r="F75" s="1"/>
      <c r="G75" s="1"/>
    </row>
    <row r="76" spans="1:8" x14ac:dyDescent="0.2">
      <c r="A76" s="1">
        <v>400</v>
      </c>
      <c r="B76" s="21">
        <v>-2000</v>
      </c>
      <c r="C76" s="21">
        <f>(470-A76)*100-1500</f>
        <v>5500</v>
      </c>
      <c r="D76" s="21">
        <f>-((450-A76)*100-1000)</f>
        <v>-4000</v>
      </c>
      <c r="E76" s="21">
        <f>SUM(B76:D76)</f>
        <v>-500</v>
      </c>
      <c r="F76" s="1"/>
      <c r="G76" s="1"/>
    </row>
    <row r="77" spans="1:8" x14ac:dyDescent="0.2">
      <c r="A77" s="1">
        <f>A76+20</f>
        <v>420</v>
      </c>
      <c r="B77" s="21">
        <v>-2000</v>
      </c>
      <c r="C77" s="21">
        <f t="shared" ref="C77:C79" si="0">(470-A77)*100-1500</f>
        <v>3500</v>
      </c>
      <c r="D77" s="21">
        <f>-((450-A77)*100-1000)</f>
        <v>-2000</v>
      </c>
      <c r="E77" s="21">
        <f t="shared" ref="E77:E86" si="1">SUM(B77:D77)</f>
        <v>-500</v>
      </c>
      <c r="F77" s="1"/>
      <c r="G77" s="1"/>
    </row>
    <row r="78" spans="1:8" x14ac:dyDescent="0.2">
      <c r="A78" s="1">
        <f t="shared" ref="A78:A86" si="2">A77+20</f>
        <v>440</v>
      </c>
      <c r="B78" s="21">
        <v>-2000</v>
      </c>
      <c r="C78" s="21">
        <f t="shared" si="0"/>
        <v>1500</v>
      </c>
      <c r="D78" s="21">
        <f>-((450-A78)*100-1000)</f>
        <v>0</v>
      </c>
      <c r="E78" s="21">
        <f t="shared" si="1"/>
        <v>-500</v>
      </c>
      <c r="F78" s="1"/>
      <c r="G78" s="1"/>
    </row>
    <row r="79" spans="1:8" x14ac:dyDescent="0.2">
      <c r="A79" s="1">
        <f t="shared" si="2"/>
        <v>460</v>
      </c>
      <c r="B79" s="21">
        <v>-2000</v>
      </c>
      <c r="C79" s="21">
        <f t="shared" si="0"/>
        <v>-500</v>
      </c>
      <c r="D79" s="21">
        <v>1000</v>
      </c>
      <c r="E79" s="21">
        <f t="shared" si="1"/>
        <v>-1500</v>
      </c>
      <c r="F79" s="1"/>
      <c r="G79" s="1"/>
    </row>
    <row r="80" spans="1:8" x14ac:dyDescent="0.2">
      <c r="A80" s="1">
        <f t="shared" si="2"/>
        <v>480</v>
      </c>
      <c r="B80" s="21">
        <v>-2000</v>
      </c>
      <c r="C80" s="21">
        <v>-1500</v>
      </c>
      <c r="D80" s="21">
        <v>1000</v>
      </c>
      <c r="E80" s="21">
        <f t="shared" si="1"/>
        <v>-2500</v>
      </c>
      <c r="F80" s="1"/>
      <c r="G80" s="1"/>
    </row>
    <row r="81" spans="1:8" x14ac:dyDescent="0.2">
      <c r="A81" s="1">
        <f t="shared" si="2"/>
        <v>500</v>
      </c>
      <c r="B81" s="21">
        <v>-2000</v>
      </c>
      <c r="C81" s="21">
        <v>-1500</v>
      </c>
      <c r="D81" s="21">
        <v>1000</v>
      </c>
      <c r="E81" s="21">
        <f t="shared" si="1"/>
        <v>-2500</v>
      </c>
      <c r="F81" s="1"/>
      <c r="G81" s="1"/>
    </row>
    <row r="82" spans="1:8" x14ac:dyDescent="0.2">
      <c r="A82" s="1">
        <f t="shared" si="2"/>
        <v>520</v>
      </c>
      <c r="B82" s="21">
        <f>(A82-500)*100-2000</f>
        <v>0</v>
      </c>
      <c r="C82" s="21">
        <v>-1500</v>
      </c>
      <c r="D82" s="21">
        <v>1000</v>
      </c>
      <c r="E82" s="21">
        <f t="shared" si="1"/>
        <v>-500</v>
      </c>
      <c r="F82" s="1"/>
      <c r="G82" s="1"/>
    </row>
    <row r="83" spans="1:8" x14ac:dyDescent="0.2">
      <c r="A83" s="1">
        <f t="shared" si="2"/>
        <v>540</v>
      </c>
      <c r="B83" s="21">
        <f>(A83-500)*100-2000</f>
        <v>2000</v>
      </c>
      <c r="C83" s="21">
        <v>-1500</v>
      </c>
      <c r="D83" s="21">
        <v>1000</v>
      </c>
      <c r="E83" s="21">
        <f t="shared" si="1"/>
        <v>1500</v>
      </c>
      <c r="F83" s="1"/>
      <c r="G83" s="1"/>
    </row>
    <row r="84" spans="1:8" x14ac:dyDescent="0.2">
      <c r="A84" s="1">
        <f t="shared" si="2"/>
        <v>560</v>
      </c>
      <c r="B84" s="21">
        <f t="shared" ref="B84:B86" si="3">(A84-500)*100-2000</f>
        <v>4000</v>
      </c>
      <c r="C84" s="21">
        <v>-1500</v>
      </c>
      <c r="D84" s="21">
        <v>1000</v>
      </c>
      <c r="E84" s="21">
        <f t="shared" si="1"/>
        <v>3500</v>
      </c>
      <c r="F84" s="1"/>
      <c r="G84" s="1"/>
    </row>
    <row r="85" spans="1:8" x14ac:dyDescent="0.2">
      <c r="A85" s="1">
        <f t="shared" si="2"/>
        <v>580</v>
      </c>
      <c r="B85" s="21">
        <f t="shared" si="3"/>
        <v>6000</v>
      </c>
      <c r="C85" s="21">
        <v>-1500</v>
      </c>
      <c r="D85" s="21">
        <v>1000</v>
      </c>
      <c r="E85" s="21">
        <f t="shared" si="1"/>
        <v>5500</v>
      </c>
      <c r="F85" s="1"/>
      <c r="G85" s="1"/>
    </row>
    <row r="86" spans="1:8" x14ac:dyDescent="0.2">
      <c r="A86" s="1">
        <f t="shared" si="2"/>
        <v>600</v>
      </c>
      <c r="B86" s="21">
        <f t="shared" si="3"/>
        <v>8000</v>
      </c>
      <c r="C86" s="21">
        <v>-1500</v>
      </c>
      <c r="D86" s="21">
        <v>1000</v>
      </c>
      <c r="E86" s="21">
        <f t="shared" si="1"/>
        <v>7500</v>
      </c>
      <c r="F86" s="1"/>
      <c r="G86" s="1"/>
    </row>
    <row r="87" spans="1:8" x14ac:dyDescent="0.2">
      <c r="A87" s="1"/>
      <c r="B87" s="1"/>
      <c r="C87" s="1"/>
      <c r="D87" s="1"/>
      <c r="E87" s="1"/>
      <c r="F87" s="1"/>
      <c r="G87" s="1"/>
    </row>
    <row r="88" spans="1:8" x14ac:dyDescent="0.2">
      <c r="A88" s="1" t="s">
        <v>740</v>
      </c>
      <c r="B88" s="1" t="s">
        <v>1703</v>
      </c>
      <c r="C88" s="1"/>
      <c r="D88" s="1"/>
      <c r="E88" s="1"/>
      <c r="F88" s="1"/>
      <c r="G88" s="1"/>
    </row>
    <row r="89" spans="1:8" x14ac:dyDescent="0.2">
      <c r="A89" s="1"/>
      <c r="B89" s="1" t="s">
        <v>1704</v>
      </c>
      <c r="C89" s="1"/>
      <c r="D89" s="1"/>
      <c r="E89" s="1"/>
      <c r="F89" s="1"/>
      <c r="G89" s="1"/>
    </row>
    <row r="90" spans="1:8" x14ac:dyDescent="0.2">
      <c r="A90" s="1"/>
      <c r="B90" s="1" t="s">
        <v>1705</v>
      </c>
      <c r="C90" s="1"/>
      <c r="D90" s="1"/>
      <c r="E90" s="1"/>
      <c r="F90" s="1"/>
      <c r="G90" s="1"/>
    </row>
    <row r="91" spans="1:8" x14ac:dyDescent="0.2">
      <c r="A91" s="1"/>
      <c r="B91" s="1"/>
      <c r="C91" s="1"/>
      <c r="D91" s="1"/>
      <c r="E91" s="1"/>
      <c r="F91" s="1"/>
      <c r="G91" s="1" t="s">
        <v>1706</v>
      </c>
    </row>
    <row r="92" spans="1:8" ht="17" thickBot="1" x14ac:dyDescent="0.25"/>
    <row r="93" spans="1:8" ht="17" thickBot="1" x14ac:dyDescent="0.25">
      <c r="A93" s="5" t="s">
        <v>1711</v>
      </c>
      <c r="B93" s="8"/>
      <c r="C93" s="8"/>
      <c r="D93" s="8"/>
      <c r="E93" s="8"/>
      <c r="F93" s="8"/>
      <c r="G93" s="9"/>
      <c r="H93" s="4"/>
    </row>
    <row r="95" spans="1:8" x14ac:dyDescent="0.2">
      <c r="A95" s="1" t="s">
        <v>1708</v>
      </c>
      <c r="B95" s="1"/>
      <c r="C95" s="1"/>
      <c r="D95" s="1"/>
      <c r="E95" s="1"/>
      <c r="F95" s="1"/>
      <c r="G95" s="1"/>
    </row>
    <row r="96" spans="1:8" x14ac:dyDescent="0.2">
      <c r="A96" s="1" t="s">
        <v>1709</v>
      </c>
      <c r="B96" s="1"/>
      <c r="C96" s="1"/>
      <c r="D96" s="1"/>
      <c r="E96" s="1"/>
      <c r="F96" s="1"/>
      <c r="G96" s="1"/>
    </row>
    <row r="98" spans="1:7" x14ac:dyDescent="0.2">
      <c r="A98" s="1" t="s">
        <v>1710</v>
      </c>
    </row>
    <row r="100" spans="1:7" x14ac:dyDescent="0.2">
      <c r="A100" s="1" t="s">
        <v>1712</v>
      </c>
    </row>
    <row r="101" spans="1:7" x14ac:dyDescent="0.2">
      <c r="A101" s="1" t="s">
        <v>1717</v>
      </c>
    </row>
    <row r="102" spans="1:7" x14ac:dyDescent="0.2">
      <c r="A102" s="4" t="s">
        <v>1713</v>
      </c>
    </row>
    <row r="104" spans="1:7" x14ac:dyDescent="0.2">
      <c r="A104" s="1" t="s">
        <v>1714</v>
      </c>
    </row>
    <row r="105" spans="1:7" x14ac:dyDescent="0.2">
      <c r="A105" s="1" t="s">
        <v>1715</v>
      </c>
    </row>
    <row r="106" spans="1:7" x14ac:dyDescent="0.2">
      <c r="A106" s="1" t="s">
        <v>1716</v>
      </c>
    </row>
    <row r="107" spans="1:7" ht="17" thickBot="1" x14ac:dyDescent="0.25"/>
    <row r="108" spans="1:7" ht="17" thickBot="1" x14ac:dyDescent="0.25">
      <c r="A108" s="5" t="s">
        <v>1735</v>
      </c>
      <c r="B108" s="253"/>
      <c r="C108" s="253"/>
      <c r="D108" s="253"/>
      <c r="E108" s="253"/>
      <c r="F108" s="253"/>
      <c r="G108" s="254"/>
    </row>
    <row r="109" spans="1:7" x14ac:dyDescent="0.2">
      <c r="A109" s="1" t="s">
        <v>1736</v>
      </c>
    </row>
    <row r="110" spans="1:7" x14ac:dyDescent="0.2">
      <c r="A110" s="1" t="s">
        <v>1737</v>
      </c>
    </row>
    <row r="111" spans="1:7" x14ac:dyDescent="0.2">
      <c r="A111" s="1" t="s">
        <v>1738</v>
      </c>
    </row>
    <row r="112" spans="1:7" x14ac:dyDescent="0.2">
      <c r="A112" s="1" t="s">
        <v>1739</v>
      </c>
      <c r="B112" s="1"/>
      <c r="C112" s="1"/>
      <c r="D112" s="1"/>
      <c r="E112" s="1"/>
      <c r="F112" s="1"/>
      <c r="G112" s="1"/>
    </row>
    <row r="113" spans="1:7" x14ac:dyDescent="0.2">
      <c r="A113" s="1" t="s">
        <v>1740</v>
      </c>
      <c r="B113" s="1"/>
      <c r="C113" s="1"/>
      <c r="D113" s="1"/>
      <c r="E113" s="1"/>
      <c r="F113" s="1"/>
      <c r="G113" s="1"/>
    </row>
    <row r="114" spans="1:7" x14ac:dyDescent="0.2">
      <c r="A114" s="1" t="s">
        <v>1741</v>
      </c>
      <c r="B114" s="1"/>
      <c r="C114" s="1"/>
      <c r="D114" s="1"/>
      <c r="E114" s="1"/>
      <c r="F114" s="1"/>
      <c r="G114" s="1"/>
    </row>
    <row r="115" spans="1:7" x14ac:dyDescent="0.2">
      <c r="A115" s="1" t="s">
        <v>1742</v>
      </c>
      <c r="B115" s="1"/>
      <c r="C115" s="1"/>
      <c r="D115" s="1"/>
      <c r="E115" s="1"/>
      <c r="F115" s="1"/>
      <c r="G115" s="1"/>
    </row>
    <row r="116" spans="1:7" x14ac:dyDescent="0.2">
      <c r="A116" s="1" t="s">
        <v>1743</v>
      </c>
    </row>
    <row r="117" spans="1:7" x14ac:dyDescent="0.2">
      <c r="A117" s="1" t="s">
        <v>1744</v>
      </c>
    </row>
    <row r="118" spans="1:7" x14ac:dyDescent="0.2">
      <c r="A118" s="1" t="s">
        <v>1745</v>
      </c>
    </row>
    <row r="119" spans="1:7" x14ac:dyDescent="0.2">
      <c r="A119" s="1" t="s">
        <v>1746</v>
      </c>
    </row>
    <row r="120" spans="1:7" x14ac:dyDescent="0.2">
      <c r="A120" s="1" t="s">
        <v>1747</v>
      </c>
      <c r="B120" s="1"/>
      <c r="C120" s="1">
        <v>-2000</v>
      </c>
    </row>
    <row r="121" spans="1:7" x14ac:dyDescent="0.2">
      <c r="A121" s="1" t="s">
        <v>1748</v>
      </c>
      <c r="B121" s="1"/>
      <c r="C121" s="1">
        <v>-1500</v>
      </c>
    </row>
    <row r="122" spans="1:7" x14ac:dyDescent="0.2">
      <c r="A122" s="1" t="s">
        <v>1749</v>
      </c>
      <c r="B122" s="1"/>
      <c r="C122" s="1">
        <v>1000</v>
      </c>
    </row>
    <row r="123" spans="1:7" x14ac:dyDescent="0.2">
      <c r="A123" s="1" t="s">
        <v>1750</v>
      </c>
      <c r="B123" s="1"/>
      <c r="C123" s="255">
        <f>SUM(C120:C122)</f>
        <v>-2500</v>
      </c>
    </row>
    <row r="124" spans="1:7" ht="17" thickBot="1" x14ac:dyDescent="0.25"/>
    <row r="125" spans="1:7" ht="17" thickBot="1" x14ac:dyDescent="0.25">
      <c r="A125" s="5" t="s">
        <v>1751</v>
      </c>
      <c r="B125" s="253"/>
      <c r="C125" s="253"/>
      <c r="D125" s="253"/>
      <c r="E125" s="253"/>
      <c r="F125" s="253"/>
      <c r="G125" s="254"/>
    </row>
    <row r="126" spans="1:7" x14ac:dyDescent="0.2">
      <c r="A126" s="1" t="s">
        <v>1752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76"/>
  <sheetViews>
    <sheetView rightToLeft="1" topLeftCell="A370" zoomScale="150" zoomScaleNormal="320" zoomScaleSheetLayoutView="150" workbookViewId="0">
      <selection activeCell="A456" sqref="A456:H458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1784</v>
      </c>
      <c r="B2" s="2"/>
      <c r="C2" s="2"/>
      <c r="D2" s="2"/>
      <c r="E2" s="2"/>
      <c r="F2" s="2"/>
      <c r="G2" s="3">
        <v>45337</v>
      </c>
      <c r="H2" s="3">
        <v>45336</v>
      </c>
    </row>
    <row r="3" spans="1:8" s="1" customFormat="1" ht="17" thickBot="1" x14ac:dyDescent="0.25">
      <c r="A3" s="165"/>
      <c r="B3" s="4"/>
      <c r="C3" s="4"/>
      <c r="D3" s="4"/>
      <c r="E3" s="4"/>
      <c r="F3" s="4"/>
      <c r="G3" s="4"/>
      <c r="H3" s="246"/>
    </row>
    <row r="4" spans="1:8" s="1" customFormat="1" ht="17" thickBot="1" x14ac:dyDescent="0.25">
      <c r="A4" s="248" t="s">
        <v>1719</v>
      </c>
      <c r="B4" s="8"/>
      <c r="C4" s="8"/>
      <c r="D4" s="8"/>
      <c r="E4" s="8"/>
      <c r="F4" s="8"/>
      <c r="G4" s="8"/>
      <c r="H4" s="249"/>
    </row>
    <row r="5" spans="1:8" s="1" customFormat="1" x14ac:dyDescent="0.2">
      <c r="A5" s="69" t="s">
        <v>1816</v>
      </c>
      <c r="B5" s="39"/>
      <c r="C5" s="39"/>
      <c r="D5" s="39"/>
      <c r="E5" s="39"/>
      <c r="F5" s="39"/>
      <c r="G5" s="39"/>
      <c r="H5" s="261"/>
    </row>
    <row r="6" spans="1:8" s="1" customFormat="1" x14ac:dyDescent="0.2">
      <c r="A6" s="64" t="s">
        <v>1720</v>
      </c>
      <c r="H6" s="262"/>
    </row>
    <row r="7" spans="1:8" s="1" customFormat="1" x14ac:dyDescent="0.2">
      <c r="A7" s="64" t="s">
        <v>1721</v>
      </c>
      <c r="H7" s="262"/>
    </row>
    <row r="8" spans="1:8" s="1" customFormat="1" x14ac:dyDescent="0.2">
      <c r="A8" s="64" t="s">
        <v>1722</v>
      </c>
      <c r="H8" s="262"/>
    </row>
    <row r="9" spans="1:8" s="1" customFormat="1" x14ac:dyDescent="0.2">
      <c r="A9" s="64"/>
      <c r="H9" s="262"/>
    </row>
    <row r="10" spans="1:8" s="1" customFormat="1" x14ac:dyDescent="0.2">
      <c r="A10" s="64"/>
      <c r="B10" s="1" t="s">
        <v>1817</v>
      </c>
      <c r="F10" s="1" t="s">
        <v>333</v>
      </c>
      <c r="H10" s="262"/>
    </row>
    <row r="11" spans="1:8" s="1" customFormat="1" x14ac:dyDescent="0.2">
      <c r="A11" s="64"/>
      <c r="B11" s="1" t="s">
        <v>1818</v>
      </c>
      <c r="F11" s="1" t="s">
        <v>333</v>
      </c>
      <c r="H11" s="262"/>
    </row>
    <row r="12" spans="1:8" s="1" customFormat="1" x14ac:dyDescent="0.2">
      <c r="A12" s="64"/>
      <c r="H12" s="262"/>
    </row>
    <row r="13" spans="1:8" s="1" customFormat="1" x14ac:dyDescent="0.2">
      <c r="A13" s="64"/>
      <c r="B13" s="1" t="s">
        <v>1819</v>
      </c>
      <c r="F13" s="1" t="s">
        <v>901</v>
      </c>
      <c r="H13" s="262"/>
    </row>
    <row r="14" spans="1:8" s="1" customFormat="1" x14ac:dyDescent="0.2">
      <c r="A14" s="64"/>
      <c r="H14" s="262"/>
    </row>
    <row r="15" spans="1:8" s="1" customFormat="1" ht="17" thickBot="1" x14ac:dyDescent="0.25">
      <c r="A15" s="65" t="s">
        <v>1820</v>
      </c>
      <c r="B15" s="44"/>
      <c r="C15" s="44"/>
      <c r="D15" s="44"/>
      <c r="E15" s="44"/>
      <c r="F15" s="44"/>
      <c r="G15" s="44"/>
      <c r="H15" s="263"/>
    </row>
    <row r="16" spans="1:8" s="1" customFormat="1" ht="17" thickBot="1" x14ac:dyDescent="0.25">
      <c r="A16" s="62"/>
      <c r="H16" s="247"/>
    </row>
    <row r="17" spans="1:8" s="1" customFormat="1" x14ac:dyDescent="0.2">
      <c r="A17" s="69" t="s">
        <v>1723</v>
      </c>
      <c r="B17" s="39"/>
      <c r="C17" s="39"/>
      <c r="D17" s="39"/>
      <c r="E17" s="39"/>
      <c r="F17" s="39"/>
      <c r="G17" s="39"/>
      <c r="H17" s="261"/>
    </row>
    <row r="18" spans="1:8" s="1" customFormat="1" x14ac:dyDescent="0.2">
      <c r="A18" s="64" t="s">
        <v>1724</v>
      </c>
      <c r="H18" s="262"/>
    </row>
    <row r="19" spans="1:8" s="1" customFormat="1" x14ac:dyDescent="0.2">
      <c r="A19" s="64"/>
      <c r="H19" s="262"/>
    </row>
    <row r="20" spans="1:8" s="1" customFormat="1" ht="17" thickBot="1" x14ac:dyDescent="0.25">
      <c r="A20" s="65" t="s">
        <v>1821</v>
      </c>
      <c r="B20" s="44"/>
      <c r="C20" s="44"/>
      <c r="D20" s="44"/>
      <c r="E20" s="44"/>
      <c r="F20" s="44"/>
      <c r="G20" s="44"/>
      <c r="H20" s="263"/>
    </row>
    <row r="21" spans="1:8" s="1" customFormat="1" ht="17" thickBot="1" x14ac:dyDescent="0.25">
      <c r="A21" s="62"/>
      <c r="H21" s="247"/>
    </row>
    <row r="22" spans="1:8" s="1" customFormat="1" x14ac:dyDescent="0.2">
      <c r="A22" s="69" t="s">
        <v>1725</v>
      </c>
      <c r="B22" s="113"/>
      <c r="C22" s="113"/>
      <c r="D22" s="113"/>
      <c r="E22" s="113"/>
      <c r="F22" s="113"/>
      <c r="G22" s="113"/>
      <c r="H22" s="250"/>
    </row>
    <row r="23" spans="1:8" s="1" customFormat="1" x14ac:dyDescent="0.2">
      <c r="A23" s="64" t="s">
        <v>1726</v>
      </c>
      <c r="B23" s="4"/>
      <c r="C23" s="4"/>
      <c r="D23" s="4"/>
      <c r="E23" s="4"/>
      <c r="F23" s="4"/>
      <c r="G23" s="4"/>
      <c r="H23" s="251"/>
    </row>
    <row r="24" spans="1:8" s="1" customFormat="1" x14ac:dyDescent="0.2">
      <c r="A24" s="64" t="s">
        <v>1727</v>
      </c>
      <c r="B24" s="4"/>
      <c r="C24" s="4"/>
      <c r="D24" s="4"/>
      <c r="E24" s="4"/>
      <c r="F24" s="4"/>
      <c r="G24" s="4"/>
      <c r="H24" s="251"/>
    </row>
    <row r="25" spans="1:8" s="1" customFormat="1" x14ac:dyDescent="0.2">
      <c r="A25" s="64" t="s">
        <v>1728</v>
      </c>
      <c r="B25" s="4"/>
      <c r="C25" s="4"/>
      <c r="D25" s="4"/>
      <c r="E25" s="4"/>
      <c r="F25" s="4"/>
      <c r="G25" s="4"/>
      <c r="H25" s="251"/>
    </row>
    <row r="26" spans="1:8" s="1" customFormat="1" x14ac:dyDescent="0.2">
      <c r="A26" s="64"/>
      <c r="B26" s="4"/>
      <c r="C26" s="4"/>
      <c r="D26" s="4"/>
      <c r="E26" s="4"/>
      <c r="F26" s="4"/>
      <c r="G26" s="4"/>
      <c r="H26" s="251"/>
    </row>
    <row r="27" spans="1:8" s="1" customFormat="1" ht="17" thickBot="1" x14ac:dyDescent="0.25">
      <c r="A27" s="65" t="s">
        <v>1822</v>
      </c>
      <c r="B27" s="115"/>
      <c r="C27" s="115"/>
      <c r="D27" s="115"/>
      <c r="E27" s="115"/>
      <c r="F27" s="115"/>
      <c r="G27" s="115"/>
      <c r="H27" s="252"/>
    </row>
    <row r="28" spans="1:8" s="1" customFormat="1" ht="17" thickBot="1" x14ac:dyDescent="0.25">
      <c r="A28" s="62"/>
      <c r="B28" s="4"/>
      <c r="C28" s="4"/>
      <c r="D28" s="4"/>
      <c r="E28" s="4"/>
      <c r="F28" s="4"/>
      <c r="G28" s="4"/>
      <c r="H28" s="246"/>
    </row>
    <row r="29" spans="1:8" s="1" customFormat="1" x14ac:dyDescent="0.2">
      <c r="A29" s="69" t="s">
        <v>1729</v>
      </c>
      <c r="B29" s="113"/>
      <c r="C29" s="113"/>
      <c r="D29" s="113"/>
      <c r="E29" s="113"/>
      <c r="F29" s="113"/>
      <c r="G29" s="113"/>
      <c r="H29" s="250"/>
    </row>
    <row r="30" spans="1:8" s="1" customFormat="1" x14ac:dyDescent="0.2">
      <c r="A30" s="64" t="s">
        <v>1730</v>
      </c>
      <c r="B30" s="4"/>
      <c r="C30" s="4"/>
      <c r="D30" s="4"/>
      <c r="E30" s="4"/>
      <c r="F30" s="4"/>
      <c r="G30" s="4"/>
      <c r="H30" s="251"/>
    </row>
    <row r="31" spans="1:8" s="1" customFormat="1" ht="17" thickBot="1" x14ac:dyDescent="0.25">
      <c r="A31" s="65" t="s">
        <v>1731</v>
      </c>
      <c r="B31" s="115"/>
      <c r="C31" s="115"/>
      <c r="D31" s="115"/>
      <c r="E31" s="115"/>
      <c r="F31" s="115"/>
      <c r="G31" s="115"/>
      <c r="H31" s="252"/>
    </row>
    <row r="32" spans="1:8" s="1" customFormat="1" ht="17" thickBot="1" x14ac:dyDescent="0.25">
      <c r="A32" s="62"/>
      <c r="B32" s="4"/>
      <c r="C32" s="4"/>
      <c r="D32" s="4"/>
      <c r="E32" s="4"/>
      <c r="F32" s="4"/>
      <c r="G32" s="4"/>
      <c r="H32" s="246"/>
    </row>
    <row r="33" spans="1:8" s="1" customFormat="1" x14ac:dyDescent="0.2">
      <c r="A33" s="69" t="s">
        <v>1732</v>
      </c>
      <c r="B33" s="113"/>
      <c r="C33" s="113"/>
      <c r="D33" s="113"/>
      <c r="E33" s="113"/>
      <c r="F33" s="113"/>
      <c r="G33" s="113"/>
      <c r="H33" s="250"/>
    </row>
    <row r="34" spans="1:8" s="1" customFormat="1" ht="17" thickBot="1" x14ac:dyDescent="0.25">
      <c r="A34" s="65" t="s">
        <v>1823</v>
      </c>
      <c r="B34" s="115"/>
      <c r="C34" s="115"/>
      <c r="D34" s="115"/>
      <c r="E34" s="115"/>
      <c r="F34" s="115"/>
      <c r="G34" s="115"/>
      <c r="H34" s="252"/>
    </row>
    <row r="35" spans="1:8" s="1" customFormat="1" ht="17" thickBot="1" x14ac:dyDescent="0.25">
      <c r="A35" s="62"/>
      <c r="B35" s="4"/>
      <c r="C35" s="4"/>
      <c r="D35" s="4"/>
      <c r="E35" s="4"/>
      <c r="F35" s="4"/>
      <c r="G35" s="4"/>
      <c r="H35" s="246"/>
    </row>
    <row r="36" spans="1:8" s="1" customFormat="1" x14ac:dyDescent="0.2">
      <c r="A36" s="63"/>
      <c r="B36" s="113"/>
      <c r="C36" s="114"/>
      <c r="D36" s="46"/>
      <c r="E36" s="113"/>
      <c r="F36" s="113"/>
      <c r="G36" s="113"/>
      <c r="H36" s="250"/>
    </row>
    <row r="37" spans="1:8" s="1" customFormat="1" x14ac:dyDescent="0.2">
      <c r="A37" s="259" t="s">
        <v>1810</v>
      </c>
      <c r="B37" s="4"/>
      <c r="C37" s="96"/>
      <c r="D37" s="111"/>
      <c r="E37" s="4"/>
      <c r="F37" s="4"/>
      <c r="G37" s="4"/>
      <c r="H37" s="251"/>
    </row>
    <row r="38" spans="1:8" s="1" customFormat="1" x14ac:dyDescent="0.2">
      <c r="A38" s="259" t="s">
        <v>1811</v>
      </c>
      <c r="B38" s="4"/>
      <c r="C38" s="96"/>
      <c r="D38" s="111"/>
      <c r="E38" s="4"/>
      <c r="F38" s="4"/>
      <c r="G38" s="4"/>
      <c r="H38" s="251"/>
    </row>
    <row r="39" spans="1:8" s="1" customFormat="1" ht="17" thickBot="1" x14ac:dyDescent="0.25">
      <c r="A39" s="260" t="s">
        <v>1812</v>
      </c>
      <c r="B39" s="115"/>
      <c r="C39" s="116"/>
      <c r="D39" s="111"/>
      <c r="E39" s="4"/>
      <c r="F39" s="4"/>
      <c r="G39" s="4"/>
      <c r="H39" s="251"/>
    </row>
    <row r="40" spans="1:8" s="1" customFormat="1" x14ac:dyDescent="0.2">
      <c r="A40" s="165"/>
      <c r="B40" s="4"/>
      <c r="C40" s="4"/>
      <c r="D40" s="111"/>
      <c r="E40" s="4"/>
      <c r="F40" s="4"/>
      <c r="G40" s="4"/>
      <c r="H40" s="251"/>
    </row>
    <row r="41" spans="1:8" s="1" customFormat="1" x14ac:dyDescent="0.2">
      <c r="A41" s="165"/>
      <c r="B41" s="4"/>
      <c r="C41" s="4"/>
      <c r="D41" s="111"/>
      <c r="E41" s="4"/>
      <c r="F41" s="4"/>
      <c r="G41" s="4"/>
      <c r="H41" s="251"/>
    </row>
    <row r="42" spans="1:8" s="1" customFormat="1" x14ac:dyDescent="0.2">
      <c r="A42" s="165"/>
      <c r="B42" s="4"/>
      <c r="C42" s="4"/>
      <c r="D42" s="111"/>
      <c r="E42" s="4"/>
      <c r="F42" s="4"/>
      <c r="G42" s="4"/>
      <c r="H42" s="251"/>
    </row>
    <row r="43" spans="1:8" s="1" customFormat="1" ht="17" thickBot="1" x14ac:dyDescent="0.25">
      <c r="A43" s="165"/>
      <c r="B43" s="4"/>
      <c r="C43" s="4"/>
      <c r="D43" s="110"/>
      <c r="E43" s="115"/>
      <c r="F43" s="115"/>
      <c r="G43" s="115"/>
      <c r="H43" s="252"/>
    </row>
    <row r="44" spans="1:8" s="1" customFormat="1" ht="17" thickBot="1" x14ac:dyDescent="0.25">
      <c r="A44" s="165"/>
      <c r="B44" s="4"/>
      <c r="C44" s="4"/>
      <c r="D44" s="4"/>
      <c r="E44" s="4"/>
      <c r="F44" s="4"/>
      <c r="G44" s="4"/>
      <c r="H44" s="246"/>
    </row>
    <row r="45" spans="1:8" s="1" customFormat="1" ht="17" thickBot="1" x14ac:dyDescent="0.25">
      <c r="A45" s="248" t="s">
        <v>1733</v>
      </c>
      <c r="B45" s="8"/>
      <c r="C45" s="8"/>
      <c r="D45" s="8"/>
      <c r="E45" s="8"/>
      <c r="F45" s="8"/>
      <c r="G45" s="8"/>
      <c r="H45" s="249"/>
    </row>
    <row r="46" spans="1:8" s="1" customFormat="1" x14ac:dyDescent="0.2">
      <c r="A46" s="165"/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65"/>
      <c r="B47" s="4"/>
      <c r="C47" s="4"/>
      <c r="D47" s="4"/>
      <c r="E47" s="4"/>
      <c r="F47" s="4"/>
      <c r="G47" s="4"/>
      <c r="H47" s="246"/>
    </row>
    <row r="48" spans="1:8" s="1" customFormat="1" x14ac:dyDescent="0.2">
      <c r="A48" s="165"/>
      <c r="B48" s="4"/>
      <c r="C48" s="4"/>
      <c r="D48" s="4"/>
      <c r="E48" s="4"/>
      <c r="F48" s="4"/>
      <c r="G48" s="4"/>
      <c r="H48" s="246"/>
    </row>
    <row r="49" spans="1:8" s="1" customFormat="1" x14ac:dyDescent="0.2">
      <c r="A49" s="165"/>
      <c r="B49" s="4"/>
      <c r="C49" s="4"/>
      <c r="D49" s="4"/>
      <c r="E49" s="4"/>
      <c r="F49" s="4"/>
      <c r="G49" s="4"/>
      <c r="H49" s="246"/>
    </row>
    <row r="50" spans="1:8" s="1" customFormat="1" x14ac:dyDescent="0.2">
      <c r="A50" s="165"/>
      <c r="B50" s="4"/>
      <c r="C50" s="4"/>
      <c r="D50" s="4"/>
      <c r="E50" s="4"/>
      <c r="F50" s="4"/>
      <c r="G50" s="4"/>
      <c r="H50" s="246"/>
    </row>
    <row r="51" spans="1:8" s="1" customFormat="1" x14ac:dyDescent="0.2">
      <c r="A51" s="165"/>
      <c r="B51" s="4"/>
      <c r="C51" s="4"/>
      <c r="D51" s="4"/>
      <c r="E51" s="4"/>
      <c r="F51" s="4"/>
      <c r="G51" s="4"/>
      <c r="H51" s="246"/>
    </row>
    <row r="52" spans="1:8" s="1" customFormat="1" x14ac:dyDescent="0.2">
      <c r="A52" s="165"/>
      <c r="B52" s="4"/>
      <c r="C52" s="4"/>
      <c r="D52" s="4"/>
      <c r="E52" s="4"/>
      <c r="F52" s="4"/>
      <c r="G52" s="4"/>
      <c r="H52" s="246"/>
    </row>
    <row r="53" spans="1:8" s="1" customFormat="1" x14ac:dyDescent="0.2">
      <c r="A53" s="165"/>
      <c r="B53" s="4"/>
      <c r="C53" s="4"/>
      <c r="D53" s="4"/>
      <c r="E53" s="4"/>
      <c r="F53" s="4"/>
      <c r="G53" s="4"/>
      <c r="H53" s="246"/>
    </row>
    <row r="54" spans="1:8" s="1" customFormat="1" x14ac:dyDescent="0.2">
      <c r="A54" s="165"/>
      <c r="B54" s="4"/>
      <c r="C54" s="4"/>
      <c r="D54" s="4"/>
      <c r="E54" s="4"/>
      <c r="F54" s="4"/>
      <c r="G54" s="4"/>
      <c r="H54" s="246"/>
    </row>
    <row r="55" spans="1:8" s="1" customFormat="1" x14ac:dyDescent="0.2">
      <c r="A55" s="165"/>
      <c r="B55" s="4"/>
      <c r="C55" s="4"/>
      <c r="D55" s="4"/>
      <c r="E55" s="4"/>
      <c r="F55" s="4"/>
      <c r="G55" s="4"/>
      <c r="H55" s="246"/>
    </row>
    <row r="56" spans="1:8" s="1" customFormat="1" x14ac:dyDescent="0.2">
      <c r="A56" s="165"/>
      <c r="B56" s="4"/>
      <c r="C56" s="4"/>
      <c r="D56" s="4"/>
      <c r="E56" s="4"/>
      <c r="F56" s="4"/>
      <c r="G56" s="4"/>
      <c r="H56" s="246"/>
    </row>
    <row r="57" spans="1:8" s="1" customFormat="1" x14ac:dyDescent="0.2">
      <c r="A57" s="165"/>
      <c r="B57" s="4"/>
      <c r="C57" s="4"/>
      <c r="D57" s="4"/>
      <c r="E57" s="4"/>
      <c r="F57" s="4"/>
      <c r="G57" s="4"/>
      <c r="H57" s="246"/>
    </row>
    <row r="58" spans="1:8" s="1" customFormat="1" x14ac:dyDescent="0.2">
      <c r="A58" s="165"/>
      <c r="B58" s="4"/>
      <c r="C58" s="4"/>
      <c r="D58" s="4"/>
      <c r="E58" s="4"/>
      <c r="F58" s="4"/>
      <c r="G58" s="4"/>
      <c r="H58" s="246"/>
    </row>
    <row r="59" spans="1:8" s="1" customFormat="1" x14ac:dyDescent="0.2">
      <c r="A59" s="165"/>
      <c r="B59" s="4"/>
      <c r="C59" s="4"/>
      <c r="D59" s="4"/>
      <c r="E59" s="4"/>
      <c r="F59" s="4"/>
      <c r="G59" s="4"/>
      <c r="H59" s="246"/>
    </row>
    <row r="60" spans="1:8" s="1" customFormat="1" x14ac:dyDescent="0.2">
      <c r="A60" s="165"/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65"/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65"/>
      <c r="B62" s="4"/>
      <c r="C62" s="4"/>
      <c r="D62" s="4"/>
      <c r="E62" s="4"/>
      <c r="F62" s="4"/>
      <c r="G62" s="4"/>
      <c r="H62" s="246"/>
    </row>
    <row r="63" spans="1:8" s="1" customFormat="1" x14ac:dyDescent="0.2">
      <c r="A63" s="165"/>
      <c r="B63" s="4"/>
      <c r="C63" s="4"/>
      <c r="D63" s="4"/>
      <c r="E63" s="4"/>
      <c r="F63" s="4"/>
      <c r="G63" s="4"/>
      <c r="H63" s="246"/>
    </row>
    <row r="64" spans="1:8" s="1" customFormat="1" x14ac:dyDescent="0.2">
      <c r="A64" s="165"/>
      <c r="B64" s="4"/>
      <c r="C64" s="4"/>
      <c r="D64" s="4"/>
      <c r="E64" s="4"/>
      <c r="F64" s="4"/>
      <c r="G64" s="4"/>
      <c r="H64" s="246"/>
    </row>
    <row r="65" spans="1:8" s="1" customFormat="1" x14ac:dyDescent="0.2">
      <c r="A65" s="165"/>
      <c r="B65" s="4"/>
      <c r="C65" s="4"/>
      <c r="D65" s="4"/>
      <c r="E65" s="4"/>
      <c r="F65" s="4"/>
      <c r="G65" s="4"/>
      <c r="H65" s="246"/>
    </row>
    <row r="66" spans="1:8" s="1" customFormat="1" x14ac:dyDescent="0.2">
      <c r="A66" s="165"/>
      <c r="B66" s="4"/>
      <c r="C66" s="4"/>
      <c r="D66" s="4"/>
      <c r="E66" s="4"/>
      <c r="F66" s="4"/>
      <c r="G66" s="4"/>
      <c r="H66" s="246"/>
    </row>
    <row r="67" spans="1:8" s="1" customFormat="1" x14ac:dyDescent="0.2">
      <c r="A67" s="165"/>
      <c r="B67" s="4"/>
      <c r="C67" s="4"/>
      <c r="D67" s="4"/>
      <c r="E67" s="4"/>
      <c r="F67" s="4"/>
      <c r="G67" s="4"/>
      <c r="H67" s="246"/>
    </row>
    <row r="68" spans="1:8" s="1" customFormat="1" x14ac:dyDescent="0.2">
      <c r="A68" s="165"/>
      <c r="B68" s="4"/>
      <c r="C68" s="4"/>
      <c r="D68" s="4"/>
      <c r="E68" s="4"/>
      <c r="F68" s="4"/>
      <c r="G68" s="4"/>
      <c r="H68" s="246"/>
    </row>
    <row r="69" spans="1:8" s="1" customFormat="1" x14ac:dyDescent="0.2">
      <c r="A69" s="165"/>
      <c r="B69" s="4"/>
      <c r="C69" s="4"/>
      <c r="D69" s="4"/>
      <c r="E69" s="4"/>
      <c r="F69" s="4"/>
      <c r="G69" s="4"/>
      <c r="H69" s="246"/>
    </row>
    <row r="70" spans="1:8" s="1" customFormat="1" x14ac:dyDescent="0.2">
      <c r="A70" s="165"/>
      <c r="B70" s="4"/>
      <c r="C70" s="4"/>
      <c r="D70" s="4"/>
      <c r="E70" s="4"/>
      <c r="F70" s="4"/>
      <c r="G70" s="4"/>
      <c r="H70" s="246"/>
    </row>
    <row r="71" spans="1:8" s="1" customFormat="1" x14ac:dyDescent="0.2">
      <c r="A71" s="165"/>
      <c r="B71" s="4"/>
      <c r="C71" s="4"/>
      <c r="D71" s="4"/>
      <c r="E71" s="4"/>
      <c r="F71" s="4"/>
      <c r="G71" s="4"/>
      <c r="H71" s="246"/>
    </row>
    <row r="72" spans="1:8" s="1" customFormat="1" x14ac:dyDescent="0.2">
      <c r="A72" s="165"/>
      <c r="B72" s="4"/>
      <c r="C72" s="4"/>
      <c r="D72" s="4"/>
      <c r="E72" s="4"/>
      <c r="F72" s="4"/>
      <c r="G72" s="4"/>
      <c r="H72" s="246"/>
    </row>
    <row r="73" spans="1:8" s="1" customFormat="1" x14ac:dyDescent="0.2">
      <c r="A73" s="165"/>
      <c r="B73" s="4"/>
      <c r="C73" s="4"/>
      <c r="D73" s="4"/>
      <c r="E73" s="4"/>
      <c r="F73" s="4"/>
      <c r="G73" s="4"/>
      <c r="H73" s="246"/>
    </row>
    <row r="74" spans="1:8" s="1" customFormat="1" x14ac:dyDescent="0.2">
      <c r="A74" s="165"/>
      <c r="B74" s="4"/>
      <c r="C74" s="4"/>
      <c r="D74" s="4"/>
      <c r="E74" s="4"/>
      <c r="F74" s="4"/>
      <c r="G74" s="4"/>
      <c r="H74" s="246"/>
    </row>
    <row r="75" spans="1:8" s="1" customFormat="1" x14ac:dyDescent="0.2">
      <c r="A75" s="165"/>
      <c r="B75" s="4"/>
      <c r="C75" s="4"/>
      <c r="D75" s="4"/>
      <c r="E75" s="4"/>
      <c r="F75" s="4"/>
      <c r="G75" s="4"/>
      <c r="H75" s="246"/>
    </row>
    <row r="76" spans="1:8" s="1" customFormat="1" x14ac:dyDescent="0.2">
      <c r="A76" s="165"/>
      <c r="B76" s="4"/>
      <c r="C76" s="4"/>
      <c r="D76" s="4"/>
      <c r="E76" s="4"/>
      <c r="F76" s="4"/>
      <c r="G76" s="4"/>
      <c r="H76" s="246"/>
    </row>
    <row r="77" spans="1:8" s="1" customFormat="1" x14ac:dyDescent="0.2">
      <c r="A77" s="165"/>
      <c r="B77" s="4"/>
      <c r="C77" s="4"/>
      <c r="D77" s="4"/>
      <c r="E77" s="4"/>
      <c r="F77" s="4"/>
      <c r="G77" s="4"/>
      <c r="H77" s="246"/>
    </row>
    <row r="78" spans="1:8" s="1" customFormat="1" x14ac:dyDescent="0.2">
      <c r="A78" s="165"/>
      <c r="B78" s="4"/>
      <c r="C78" s="4"/>
      <c r="D78" s="4"/>
      <c r="E78" s="4"/>
      <c r="F78" s="4"/>
      <c r="G78" s="4"/>
      <c r="H78" s="246"/>
    </row>
    <row r="79" spans="1:8" s="1" customFormat="1" x14ac:dyDescent="0.2">
      <c r="A79" s="165"/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65"/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65"/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65"/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65"/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65"/>
      <c r="B84" s="4"/>
      <c r="C84" s="4"/>
      <c r="D84" s="4"/>
      <c r="E84" s="4"/>
      <c r="F84" s="4"/>
      <c r="G84" s="4"/>
      <c r="H84" s="246"/>
    </row>
    <row r="85" spans="1:8" s="1" customFormat="1" x14ac:dyDescent="0.2">
      <c r="A85" s="165"/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165"/>
      <c r="B86" s="4"/>
      <c r="C86" s="4"/>
      <c r="D86" s="4"/>
      <c r="E86" s="4"/>
      <c r="F86" s="4"/>
      <c r="G86" s="4"/>
      <c r="H86" s="246"/>
    </row>
    <row r="87" spans="1:8" s="1" customFormat="1" x14ac:dyDescent="0.2">
      <c r="A87" s="165"/>
      <c r="B87" s="4"/>
      <c r="C87" s="4"/>
      <c r="D87" s="4"/>
      <c r="E87" s="4"/>
      <c r="F87" s="4"/>
      <c r="G87" s="4"/>
      <c r="H87" s="246"/>
    </row>
    <row r="88" spans="1:8" s="1" customFormat="1" x14ac:dyDescent="0.2">
      <c r="A88" s="165"/>
      <c r="B88" s="4"/>
      <c r="C88" s="4"/>
      <c r="D88" s="4"/>
      <c r="E88" s="4"/>
      <c r="F88" s="4"/>
      <c r="G88" s="4"/>
      <c r="H88" s="246"/>
    </row>
    <row r="89" spans="1:8" s="1" customFormat="1" x14ac:dyDescent="0.2">
      <c r="A89" s="165"/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364" t="s">
        <v>1808</v>
      </c>
      <c r="B90" s="364"/>
      <c r="C90" s="364"/>
      <c r="D90" s="364"/>
      <c r="E90" s="364"/>
      <c r="F90" s="364"/>
      <c r="G90" s="364"/>
      <c r="H90" s="364"/>
    </row>
    <row r="91" spans="1:8" s="1" customFormat="1" x14ac:dyDescent="0.2">
      <c r="A91" s="257" t="s">
        <v>1801</v>
      </c>
      <c r="B91" s="256"/>
      <c r="C91" s="256"/>
      <c r="D91" s="256"/>
      <c r="E91" s="256"/>
      <c r="F91" s="256"/>
      <c r="G91" s="256"/>
      <c r="H91" s="256"/>
    </row>
    <row r="92" spans="1:8" s="1" customFormat="1" x14ac:dyDescent="0.2">
      <c r="A92" s="257" t="s">
        <v>1802</v>
      </c>
      <c r="B92" s="256"/>
      <c r="C92" s="256"/>
      <c r="D92" s="256"/>
      <c r="E92" s="256"/>
      <c r="F92" s="256"/>
      <c r="G92" s="256"/>
      <c r="H92" s="256"/>
    </row>
    <row r="93" spans="1:8" s="1" customFormat="1" x14ac:dyDescent="0.2">
      <c r="A93" s="258" t="s">
        <v>1803</v>
      </c>
      <c r="B93" s="4"/>
      <c r="C93" s="4"/>
      <c r="D93" s="4"/>
      <c r="E93" s="4"/>
      <c r="F93" s="4"/>
      <c r="G93" s="4"/>
      <c r="H93" s="246"/>
    </row>
    <row r="94" spans="1:8" s="1" customFormat="1" x14ac:dyDescent="0.2">
      <c r="A94" s="258" t="s">
        <v>1804</v>
      </c>
      <c r="B94" s="4"/>
      <c r="C94" s="4"/>
      <c r="D94" s="4"/>
      <c r="E94" s="4"/>
      <c r="F94" s="4"/>
      <c r="G94" s="4"/>
      <c r="H94" s="246"/>
    </row>
    <row r="95" spans="1:8" s="1" customFormat="1" x14ac:dyDescent="0.2">
      <c r="A95" s="258" t="s">
        <v>1805</v>
      </c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58" t="s">
        <v>1806</v>
      </c>
      <c r="B96" s="4"/>
      <c r="C96" s="4"/>
      <c r="D96" s="4"/>
      <c r="E96" s="4"/>
      <c r="F96" s="4"/>
      <c r="G96" s="4"/>
      <c r="H96" s="246"/>
    </row>
    <row r="97" spans="1:8" s="1" customFormat="1" x14ac:dyDescent="0.2">
      <c r="A97" s="165"/>
      <c r="B97" s="4"/>
      <c r="C97" s="4"/>
      <c r="D97" s="4"/>
      <c r="E97" s="4"/>
      <c r="F97" s="4"/>
      <c r="G97" s="4"/>
      <c r="H97" s="246"/>
    </row>
    <row r="98" spans="1:8" s="1" customFormat="1" x14ac:dyDescent="0.2">
      <c r="A98" s="117" t="s">
        <v>1753</v>
      </c>
      <c r="B98" s="117"/>
      <c r="C98" s="117" t="s">
        <v>1813</v>
      </c>
      <c r="D98" s="117"/>
      <c r="E98" s="117"/>
      <c r="F98" s="117"/>
      <c r="G98" s="117"/>
      <c r="H98" s="117"/>
    </row>
    <row r="99" spans="1:8" s="1" customFormat="1" x14ac:dyDescent="0.2">
      <c r="A99" s="62" t="s">
        <v>1755</v>
      </c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62" t="s">
        <v>1758</v>
      </c>
      <c r="B100" s="4"/>
      <c r="C100" s="4"/>
      <c r="D100" s="4"/>
      <c r="E100" s="4"/>
      <c r="F100" s="4"/>
      <c r="G100" s="4"/>
      <c r="H100" s="246"/>
    </row>
    <row r="101" spans="1:8" s="1" customFormat="1" x14ac:dyDescent="0.2">
      <c r="A101" s="165"/>
      <c r="B101" s="4"/>
      <c r="C101" s="4"/>
      <c r="D101" s="4"/>
      <c r="E101" s="4"/>
      <c r="F101" s="4"/>
      <c r="G101" s="4"/>
      <c r="H101" s="246"/>
    </row>
    <row r="102" spans="1:8" s="1" customFormat="1" x14ac:dyDescent="0.2">
      <c r="A102" s="62" t="s">
        <v>1756</v>
      </c>
      <c r="B102" s="4"/>
      <c r="C102" s="4"/>
      <c r="D102" s="4"/>
      <c r="E102" s="4"/>
      <c r="F102" s="4"/>
      <c r="G102" s="4"/>
      <c r="H102" s="246"/>
    </row>
    <row r="103" spans="1:8" s="1" customFormat="1" x14ac:dyDescent="0.2">
      <c r="A103" s="62" t="s">
        <v>1757</v>
      </c>
      <c r="B103" s="4"/>
      <c r="C103" s="4"/>
      <c r="D103" s="4"/>
      <c r="E103" s="4"/>
      <c r="F103" s="4"/>
      <c r="G103" s="4"/>
      <c r="H103" s="246"/>
    </row>
    <row r="104" spans="1:8" s="1" customFormat="1" x14ac:dyDescent="0.2">
      <c r="A104" s="62" t="s">
        <v>1759</v>
      </c>
      <c r="B104" s="4"/>
      <c r="C104" s="4"/>
      <c r="D104" s="4"/>
      <c r="E104" s="4"/>
      <c r="F104" s="4"/>
      <c r="G104" s="4"/>
      <c r="H104" s="246"/>
    </row>
    <row r="105" spans="1:8" s="1" customFormat="1" x14ac:dyDescent="0.2">
      <c r="A105" s="62" t="s">
        <v>1760</v>
      </c>
      <c r="B105" s="4"/>
      <c r="C105" s="4"/>
      <c r="D105" s="4"/>
      <c r="E105" s="4"/>
      <c r="F105" s="4"/>
      <c r="G105" s="4"/>
      <c r="H105" s="246"/>
    </row>
    <row r="106" spans="1:8" s="1" customFormat="1" x14ac:dyDescent="0.2">
      <c r="A106" s="62" t="s">
        <v>1761</v>
      </c>
      <c r="B106" s="4"/>
      <c r="C106" s="4"/>
      <c r="D106" s="4"/>
      <c r="E106" s="4"/>
      <c r="F106" s="4"/>
      <c r="G106" s="4"/>
      <c r="H106" s="246"/>
    </row>
    <row r="107" spans="1:8" s="1" customFormat="1" x14ac:dyDescent="0.2">
      <c r="A107" s="165"/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165" t="s">
        <v>78</v>
      </c>
      <c r="B108" s="4"/>
      <c r="C108" s="4"/>
      <c r="D108" s="4"/>
      <c r="E108" s="4"/>
      <c r="F108" s="4"/>
      <c r="G108" s="4"/>
      <c r="H108" s="246"/>
    </row>
    <row r="109" spans="1:8" s="1" customFormat="1" ht="17" thickBot="1" x14ac:dyDescent="0.25">
      <c r="A109" s="165"/>
      <c r="B109" s="4"/>
      <c r="C109" s="4"/>
      <c r="D109" s="4"/>
      <c r="E109" s="4"/>
      <c r="F109" s="4"/>
      <c r="G109" s="4"/>
      <c r="H109" s="246"/>
    </row>
    <row r="110" spans="1:8" s="1" customFormat="1" ht="17" thickBot="1" x14ac:dyDescent="0.25">
      <c r="A110" s="264" t="s">
        <v>1756</v>
      </c>
      <c r="B110" s="8"/>
      <c r="C110" s="8"/>
      <c r="D110" s="8"/>
      <c r="E110" s="8"/>
      <c r="F110" s="8"/>
      <c r="G110" s="8"/>
      <c r="H110" s="249"/>
    </row>
    <row r="111" spans="1:8" s="1" customFormat="1" x14ac:dyDescent="0.2">
      <c r="A111" s="62" t="s">
        <v>1824</v>
      </c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A112" s="62" t="s">
        <v>1825</v>
      </c>
      <c r="B112" s="4"/>
      <c r="C112" s="4"/>
      <c r="D112" s="4"/>
      <c r="E112" s="4"/>
      <c r="F112" s="4"/>
      <c r="G112" s="4"/>
      <c r="H112" s="246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46"/>
    </row>
    <row r="114" spans="1:8" s="1" customFormat="1" x14ac:dyDescent="0.2">
      <c r="A114" s="165" t="s">
        <v>1826</v>
      </c>
      <c r="B114" s="4"/>
      <c r="C114" s="4"/>
      <c r="D114" s="4"/>
      <c r="E114" s="4"/>
      <c r="F114" s="4"/>
      <c r="G114" s="4"/>
      <c r="H114" s="246"/>
    </row>
    <row r="115" spans="1:8" s="1" customFormat="1" x14ac:dyDescent="0.2">
      <c r="A115" s="165" t="s">
        <v>1827</v>
      </c>
      <c r="B115" s="4"/>
      <c r="C115" s="4"/>
      <c r="D115" s="4"/>
      <c r="E115" s="4"/>
      <c r="F115" s="4"/>
      <c r="G115" s="4"/>
      <c r="H115" s="246"/>
    </row>
    <row r="116" spans="1:8" s="1" customFormat="1" ht="17" thickBot="1" x14ac:dyDescent="0.25">
      <c r="A116" s="62"/>
      <c r="B116" s="4"/>
      <c r="C116" s="4"/>
      <c r="D116" s="4"/>
      <c r="E116" s="4"/>
      <c r="F116" s="4"/>
      <c r="G116" s="4"/>
      <c r="H116" s="246"/>
    </row>
    <row r="117" spans="1:8" s="1" customFormat="1" ht="17" thickBot="1" x14ac:dyDescent="0.25">
      <c r="A117" s="264" t="s">
        <v>1757</v>
      </c>
      <c r="B117" s="8"/>
      <c r="C117" s="8"/>
      <c r="D117" s="8"/>
      <c r="E117" s="8"/>
      <c r="F117" s="8"/>
      <c r="G117" s="8"/>
      <c r="H117" s="249"/>
    </row>
    <row r="118" spans="1:8" s="1" customFormat="1" x14ac:dyDescent="0.2">
      <c r="A118" s="62" t="s">
        <v>1828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A119" s="62" t="s">
        <v>1829</v>
      </c>
      <c r="B119" s="4"/>
      <c r="C119" s="4"/>
      <c r="D119" s="4"/>
      <c r="E119" s="4"/>
      <c r="F119" s="4"/>
      <c r="G119" s="4"/>
      <c r="H119" s="246"/>
    </row>
    <row r="120" spans="1:8" s="1" customFormat="1" x14ac:dyDescent="0.2">
      <c r="A120" s="62" t="s">
        <v>1830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A121" s="62" t="s">
        <v>1831</v>
      </c>
      <c r="B121" s="4"/>
      <c r="C121" s="4"/>
      <c r="D121" s="4"/>
      <c r="E121" s="4"/>
      <c r="F121" s="4"/>
      <c r="G121" s="4"/>
      <c r="H121" s="246"/>
    </row>
    <row r="122" spans="1:8" s="1" customFormat="1" x14ac:dyDescent="0.2">
      <c r="A122" s="62"/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A123" s="62" t="s">
        <v>1832</v>
      </c>
      <c r="B123" s="4"/>
      <c r="C123" s="4"/>
      <c r="D123" s="4"/>
      <c r="E123" s="4"/>
      <c r="F123" s="4"/>
      <c r="G123" s="4"/>
      <c r="H123" s="246"/>
    </row>
    <row r="124" spans="1:8" s="1" customFormat="1" x14ac:dyDescent="0.2">
      <c r="A124" s="62" t="s">
        <v>1838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A126" s="62" t="s">
        <v>1833</v>
      </c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62" t="s">
        <v>1834</v>
      </c>
      <c r="B127" s="4"/>
      <c r="C127" s="4"/>
      <c r="D127" s="1">
        <v>12</v>
      </c>
      <c r="F127" s="1" t="s">
        <v>1835</v>
      </c>
      <c r="G127" s="4"/>
      <c r="H127" s="246"/>
    </row>
    <row r="128" spans="1:8" s="1" customFormat="1" x14ac:dyDescent="0.2">
      <c r="A128" s="62" t="s">
        <v>1836</v>
      </c>
      <c r="B128" s="4"/>
      <c r="C128" s="4"/>
      <c r="D128" s="1">
        <f>D127*10</f>
        <v>120</v>
      </c>
      <c r="G128" s="4"/>
      <c r="H128" s="246"/>
    </row>
    <row r="129" spans="1:8" s="1" customFormat="1" x14ac:dyDescent="0.2">
      <c r="A129" s="62" t="s">
        <v>1837</v>
      </c>
      <c r="B129" s="4"/>
      <c r="C129" s="4"/>
      <c r="D129" s="265">
        <f>120%</f>
        <v>1.2</v>
      </c>
      <c r="F129" s="1" t="s">
        <v>1839</v>
      </c>
      <c r="G129" s="4"/>
      <c r="H129" s="246"/>
    </row>
    <row r="130" spans="1:8" s="1" customFormat="1" x14ac:dyDescent="0.2">
      <c r="A130" s="62"/>
      <c r="B130" s="4"/>
      <c r="C130" s="4"/>
      <c r="D130" s="4"/>
      <c r="E130" s="4"/>
      <c r="F130" s="4"/>
      <c r="G130" s="4"/>
      <c r="H130" s="246"/>
    </row>
    <row r="131" spans="1:8" s="1" customFormat="1" x14ac:dyDescent="0.2">
      <c r="A131" s="165" t="s">
        <v>1840</v>
      </c>
      <c r="B131" s="4"/>
      <c r="C131" s="4"/>
      <c r="D131" s="4"/>
      <c r="E131" s="4"/>
      <c r="F131" s="4"/>
      <c r="G131" s="4"/>
      <c r="H131" s="246"/>
    </row>
    <row r="132" spans="1:8" s="1" customFormat="1" x14ac:dyDescent="0.2">
      <c r="A132" s="165" t="s">
        <v>1841</v>
      </c>
      <c r="B132" s="4"/>
      <c r="C132" s="4"/>
      <c r="D132" s="4"/>
      <c r="E132" s="4"/>
      <c r="F132" s="4"/>
      <c r="G132" s="4"/>
      <c r="H132" s="246"/>
    </row>
    <row r="133" spans="1:8" s="1" customFormat="1" x14ac:dyDescent="0.2">
      <c r="A133" s="165" t="s">
        <v>1842</v>
      </c>
      <c r="B133" s="4"/>
      <c r="C133" s="4"/>
      <c r="D133" s="4"/>
      <c r="E133" s="4"/>
      <c r="F133" s="4"/>
      <c r="G133" s="4"/>
      <c r="H133" s="246"/>
    </row>
    <row r="134" spans="1:8" s="1" customFormat="1" ht="17" thickBot="1" x14ac:dyDescent="0.25">
      <c r="A134" s="62"/>
      <c r="B134" s="4"/>
      <c r="C134" s="4"/>
      <c r="D134" s="4"/>
      <c r="E134" s="4"/>
      <c r="F134" s="4"/>
      <c r="G134" s="4"/>
      <c r="H134" s="246"/>
    </row>
    <row r="135" spans="1:8" s="1" customFormat="1" ht="17" thickBot="1" x14ac:dyDescent="0.25">
      <c r="A135" s="248" t="s">
        <v>1759</v>
      </c>
      <c r="B135" s="8"/>
      <c r="C135" s="8"/>
      <c r="D135" s="8"/>
      <c r="E135" s="8"/>
      <c r="F135" s="8"/>
      <c r="G135" s="8"/>
      <c r="H135" s="249"/>
    </row>
    <row r="136" spans="1:8" s="1" customFormat="1" x14ac:dyDescent="0.2">
      <c r="A136" s="62"/>
      <c r="B136" s="4"/>
      <c r="C136" s="4"/>
      <c r="D136" s="4"/>
      <c r="E136" s="4"/>
      <c r="F136" s="4"/>
      <c r="G136" s="4"/>
      <c r="H136" s="246"/>
    </row>
    <row r="137" spans="1:8" s="1" customFormat="1" x14ac:dyDescent="0.2">
      <c r="A137" s="62" t="s">
        <v>1843</v>
      </c>
      <c r="B137" s="4"/>
      <c r="C137" s="4"/>
      <c r="D137" s="4"/>
      <c r="E137" s="4"/>
      <c r="F137" s="4"/>
      <c r="G137" s="4"/>
      <c r="H137" s="246"/>
    </row>
    <row r="138" spans="1:8" s="1" customFormat="1" x14ac:dyDescent="0.2">
      <c r="A138" s="62" t="s">
        <v>1844</v>
      </c>
      <c r="B138" s="4"/>
      <c r="C138" s="4"/>
      <c r="D138" s="4"/>
      <c r="E138" s="4"/>
      <c r="F138" s="4"/>
      <c r="G138" s="4"/>
      <c r="H138" s="246"/>
    </row>
    <row r="139" spans="1:8" s="1" customFormat="1" ht="17" thickBot="1" x14ac:dyDescent="0.25">
      <c r="A139" s="62"/>
      <c r="B139" s="4"/>
      <c r="C139" s="4"/>
      <c r="D139" s="4"/>
      <c r="E139" s="4"/>
      <c r="F139" s="4"/>
      <c r="G139" s="4"/>
      <c r="H139" s="246"/>
    </row>
    <row r="140" spans="1:8" s="1" customFormat="1" x14ac:dyDescent="0.2">
      <c r="A140" s="63" t="s">
        <v>1760</v>
      </c>
      <c r="B140" s="113"/>
      <c r="C140" s="113"/>
      <c r="D140" s="113"/>
      <c r="E140" s="113"/>
      <c r="F140" s="113"/>
      <c r="G140" s="113"/>
      <c r="H140" s="250"/>
    </row>
    <row r="141" spans="1:8" s="1" customFormat="1" ht="17" thickBot="1" x14ac:dyDescent="0.25">
      <c r="A141" s="220" t="s">
        <v>1761</v>
      </c>
      <c r="B141" s="115"/>
      <c r="C141" s="115"/>
      <c r="D141" s="115"/>
      <c r="E141" s="115"/>
      <c r="F141" s="115"/>
      <c r="G141" s="115"/>
      <c r="H141" s="252"/>
    </row>
    <row r="142" spans="1:8" s="1" customFormat="1" x14ac:dyDescent="0.2">
      <c r="A142" s="62"/>
      <c r="B142" s="4"/>
      <c r="C142" s="4"/>
      <c r="D142" s="4"/>
      <c r="E142" s="4"/>
      <c r="F142" s="4"/>
      <c r="G142" s="4"/>
      <c r="H142" s="246"/>
    </row>
    <row r="143" spans="1:8" s="1" customFormat="1" x14ac:dyDescent="0.2">
      <c r="A143" s="62" t="s">
        <v>1845</v>
      </c>
      <c r="B143" s="4"/>
      <c r="C143" s="4"/>
      <c r="D143" s="4"/>
      <c r="E143" s="4"/>
      <c r="F143" s="4"/>
      <c r="G143" s="4"/>
      <c r="H143" s="246"/>
    </row>
    <row r="144" spans="1:8" s="1" customFormat="1" x14ac:dyDescent="0.2">
      <c r="A144" s="62" t="s">
        <v>1846</v>
      </c>
      <c r="B144" s="4"/>
      <c r="C144" s="4"/>
      <c r="D144" s="4"/>
      <c r="E144" s="4"/>
      <c r="F144" s="4"/>
      <c r="G144" s="4"/>
      <c r="H144" s="246"/>
    </row>
    <row r="145" spans="1:8" s="1" customFormat="1" x14ac:dyDescent="0.2">
      <c r="A145" s="62" t="s">
        <v>1847</v>
      </c>
      <c r="B145" s="4"/>
      <c r="C145" s="4"/>
      <c r="D145" s="4"/>
      <c r="E145" s="4"/>
      <c r="F145" s="4"/>
      <c r="G145" s="4"/>
      <c r="H145" s="246"/>
    </row>
    <row r="146" spans="1:8" s="1" customFormat="1" x14ac:dyDescent="0.2">
      <c r="A146" s="62"/>
      <c r="B146" s="4"/>
      <c r="C146" s="4"/>
      <c r="D146" s="4"/>
      <c r="E146" s="4"/>
      <c r="F146" s="4"/>
      <c r="G146" s="4"/>
      <c r="H146" s="246"/>
    </row>
    <row r="147" spans="1:8" s="1" customFormat="1" x14ac:dyDescent="0.2">
      <c r="A147" s="117" t="s">
        <v>1754</v>
      </c>
      <c r="B147" s="117"/>
      <c r="C147" s="117" t="s">
        <v>1813</v>
      </c>
      <c r="D147" s="117"/>
      <c r="E147" s="117"/>
      <c r="F147" s="117"/>
      <c r="G147" s="117"/>
      <c r="H147" s="117"/>
    </row>
    <row r="148" spans="1:8" s="1" customFormat="1" x14ac:dyDescent="0.2">
      <c r="A148" s="62" t="s">
        <v>1762</v>
      </c>
      <c r="B148" s="4"/>
      <c r="C148" s="4"/>
      <c r="D148" s="4"/>
      <c r="E148" s="4"/>
      <c r="F148" s="4"/>
      <c r="G148" s="4"/>
      <c r="H148" s="246"/>
    </row>
    <row r="149" spans="1:8" s="1" customFormat="1" x14ac:dyDescent="0.2">
      <c r="A149" s="62" t="s">
        <v>1763</v>
      </c>
      <c r="B149" s="4"/>
      <c r="C149" s="4"/>
      <c r="D149" s="4"/>
      <c r="E149" s="4"/>
      <c r="F149" s="4"/>
      <c r="G149" s="4"/>
      <c r="H149" s="246"/>
    </row>
    <row r="150" spans="1:8" s="1" customFormat="1" x14ac:dyDescent="0.2">
      <c r="A150" s="62" t="s">
        <v>1765</v>
      </c>
      <c r="B150" s="4"/>
      <c r="C150" s="4"/>
      <c r="D150" s="4"/>
      <c r="E150" s="4"/>
      <c r="F150" s="4"/>
      <c r="G150" s="4"/>
      <c r="H150" s="246"/>
    </row>
    <row r="151" spans="1:8" s="1" customFormat="1" x14ac:dyDescent="0.2">
      <c r="A151" s="62" t="s">
        <v>1764</v>
      </c>
      <c r="B151" s="4"/>
      <c r="C151" s="4"/>
      <c r="D151" s="4"/>
      <c r="E151" s="4"/>
      <c r="F151" s="4"/>
      <c r="G151" s="4"/>
      <c r="H151" s="246"/>
    </row>
    <row r="152" spans="1:8" s="1" customFormat="1" x14ac:dyDescent="0.2">
      <c r="A152" s="62" t="s">
        <v>1766</v>
      </c>
      <c r="B152" s="4"/>
      <c r="C152" s="4"/>
      <c r="D152" s="4"/>
      <c r="E152" s="4"/>
      <c r="F152" s="4"/>
      <c r="G152" s="4"/>
      <c r="H152" s="246"/>
    </row>
    <row r="153" spans="1:8" s="1" customFormat="1" x14ac:dyDescent="0.2">
      <c r="A153" s="62" t="s">
        <v>1767</v>
      </c>
      <c r="B153" s="4"/>
      <c r="C153" s="4"/>
      <c r="D153" s="4"/>
      <c r="E153" s="4"/>
      <c r="F153" s="4"/>
      <c r="G153" s="4"/>
      <c r="H153" s="246"/>
    </row>
    <row r="154" spans="1:8" s="1" customFormat="1" x14ac:dyDescent="0.2">
      <c r="A154" s="62" t="s">
        <v>1768</v>
      </c>
      <c r="B154" s="4"/>
      <c r="C154" s="4"/>
      <c r="D154" s="4"/>
      <c r="E154" s="4"/>
      <c r="F154" s="4"/>
      <c r="G154" s="4"/>
      <c r="H154" s="246"/>
    </row>
    <row r="155" spans="1:8" s="1" customFormat="1" x14ac:dyDescent="0.2">
      <c r="A155" s="62" t="s">
        <v>1769</v>
      </c>
      <c r="B155" s="4"/>
      <c r="C155" s="4"/>
      <c r="D155" s="4"/>
      <c r="E155" s="4"/>
      <c r="F155" s="4"/>
      <c r="G155" s="4"/>
      <c r="H155" s="246"/>
    </row>
    <row r="156" spans="1:8" s="1" customFormat="1" x14ac:dyDescent="0.2">
      <c r="A156" s="62" t="s">
        <v>1770</v>
      </c>
      <c r="B156" s="4"/>
      <c r="C156" s="4"/>
      <c r="D156" s="4"/>
      <c r="E156" s="4"/>
      <c r="F156" s="4"/>
      <c r="G156" s="4"/>
      <c r="H156" s="246"/>
    </row>
    <row r="157" spans="1:8" s="1" customFormat="1" x14ac:dyDescent="0.2">
      <c r="A157" s="165"/>
      <c r="B157" s="4"/>
      <c r="C157" s="4"/>
      <c r="D157" s="4"/>
      <c r="E157" s="4"/>
      <c r="F157" s="4"/>
      <c r="G157" s="4"/>
      <c r="H157" s="246"/>
    </row>
    <row r="158" spans="1:8" s="1" customFormat="1" x14ac:dyDescent="0.2">
      <c r="A158" s="165" t="s">
        <v>78</v>
      </c>
      <c r="B158" s="4"/>
      <c r="C158" s="4"/>
      <c r="D158" s="4"/>
      <c r="E158" s="4"/>
      <c r="F158" s="4"/>
      <c r="G158" s="4"/>
      <c r="H158" s="246"/>
    </row>
    <row r="159" spans="1:8" s="1" customFormat="1" x14ac:dyDescent="0.2">
      <c r="A159" s="165"/>
      <c r="B159" s="4"/>
      <c r="C159" s="4"/>
      <c r="D159" s="4"/>
      <c r="E159" s="4"/>
      <c r="F159" s="4"/>
      <c r="G159" s="4"/>
      <c r="H159" s="246"/>
    </row>
    <row r="160" spans="1:8" s="1" customFormat="1" x14ac:dyDescent="0.2">
      <c r="A160" s="165" t="s">
        <v>1848</v>
      </c>
      <c r="B160" s="4"/>
      <c r="C160" s="4"/>
      <c r="D160" s="4"/>
      <c r="E160" s="4"/>
      <c r="F160" s="4"/>
      <c r="G160" s="4"/>
      <c r="H160" s="246"/>
    </row>
    <row r="161" spans="1:8" s="1" customFormat="1" x14ac:dyDescent="0.2">
      <c r="A161" s="165" t="s">
        <v>1849</v>
      </c>
      <c r="B161" s="4"/>
      <c r="C161" s="4"/>
      <c r="D161" s="4"/>
      <c r="E161" s="4"/>
      <c r="F161" s="4"/>
      <c r="G161" s="4"/>
      <c r="H161" s="246"/>
    </row>
    <row r="162" spans="1:8" s="1" customFormat="1" ht="17" thickBot="1" x14ac:dyDescent="0.25">
      <c r="A162" s="165"/>
      <c r="B162" s="4"/>
      <c r="C162" s="4"/>
      <c r="D162" s="4"/>
      <c r="E162" s="4"/>
      <c r="F162" s="4"/>
      <c r="G162" s="4"/>
      <c r="H162" s="246"/>
    </row>
    <row r="163" spans="1:8" s="1" customFormat="1" ht="17" thickBot="1" x14ac:dyDescent="0.25">
      <c r="A163" s="264" t="s">
        <v>1763</v>
      </c>
      <c r="B163" s="8"/>
      <c r="C163" s="8"/>
      <c r="D163" s="8"/>
      <c r="E163" s="8"/>
      <c r="F163" s="8"/>
      <c r="G163" s="8"/>
      <c r="H163" s="249"/>
    </row>
    <row r="164" spans="1:8" s="1" customFormat="1" x14ac:dyDescent="0.2">
      <c r="A164" s="62" t="s">
        <v>1850</v>
      </c>
      <c r="B164" s="4"/>
      <c r="C164" s="4"/>
      <c r="D164" s="4"/>
      <c r="E164" s="4"/>
      <c r="F164" s="4"/>
      <c r="G164" s="4"/>
      <c r="H164" s="246"/>
    </row>
    <row r="165" spans="1:8" s="1" customFormat="1" x14ac:dyDescent="0.2">
      <c r="A165" s="62" t="s">
        <v>1851</v>
      </c>
      <c r="B165" s="4"/>
      <c r="C165" s="4"/>
      <c r="D165" s="4"/>
      <c r="E165" s="4"/>
      <c r="F165" s="4"/>
      <c r="G165" s="4"/>
      <c r="H165" s="246"/>
    </row>
    <row r="166" spans="1:8" s="1" customFormat="1" x14ac:dyDescent="0.2">
      <c r="A166" s="62" t="s">
        <v>1852</v>
      </c>
      <c r="B166" s="4"/>
      <c r="C166" s="4"/>
      <c r="D166" s="4"/>
      <c r="E166" s="4"/>
      <c r="F166" s="4"/>
      <c r="G166" s="4"/>
      <c r="H166" s="246"/>
    </row>
    <row r="167" spans="1:8" s="1" customFormat="1" ht="17" thickBot="1" x14ac:dyDescent="0.25">
      <c r="A167" s="62"/>
      <c r="B167" s="4"/>
      <c r="C167" s="4"/>
      <c r="D167" s="4"/>
      <c r="E167" s="4"/>
      <c r="F167" s="4"/>
      <c r="G167" s="4"/>
      <c r="H167" s="246"/>
    </row>
    <row r="168" spans="1:8" s="1" customFormat="1" x14ac:dyDescent="0.2">
      <c r="A168" s="69" t="s">
        <v>1765</v>
      </c>
      <c r="B168" s="113"/>
      <c r="C168" s="113"/>
      <c r="D168" s="113"/>
      <c r="E168" s="113"/>
      <c r="F168" s="113"/>
      <c r="G168" s="113"/>
      <c r="H168" s="250"/>
    </row>
    <row r="169" spans="1:8" s="1" customFormat="1" ht="17" thickBot="1" x14ac:dyDescent="0.25">
      <c r="A169" s="65" t="s">
        <v>1764</v>
      </c>
      <c r="B169" s="115"/>
      <c r="C169" s="115"/>
      <c r="D169" s="115"/>
      <c r="E169" s="115"/>
      <c r="F169" s="115"/>
      <c r="G169" s="115"/>
      <c r="H169" s="252"/>
    </row>
    <row r="170" spans="1:8" s="1" customFormat="1" x14ac:dyDescent="0.2">
      <c r="A170" s="62"/>
      <c r="B170" s="4"/>
      <c r="C170" s="4"/>
      <c r="D170" s="4"/>
      <c r="E170" s="4"/>
      <c r="F170" s="4"/>
      <c r="G170" s="4"/>
      <c r="H170" s="246"/>
    </row>
    <row r="171" spans="1:8" s="1" customFormat="1" x14ac:dyDescent="0.2">
      <c r="A171" s="62" t="s">
        <v>1864</v>
      </c>
      <c r="B171" s="4"/>
      <c r="C171" s="4"/>
      <c r="D171" s="4"/>
      <c r="E171" s="4"/>
      <c r="F171" s="4"/>
      <c r="G171" s="4"/>
      <c r="H171" s="246"/>
    </row>
    <row r="172" spans="1:8" s="1" customFormat="1" x14ac:dyDescent="0.2">
      <c r="A172" s="62"/>
      <c r="B172" s="4"/>
      <c r="C172" s="4"/>
      <c r="D172" s="4"/>
      <c r="E172" s="4"/>
      <c r="F172" s="4" t="s">
        <v>1855</v>
      </c>
      <c r="H172" s="4" t="s">
        <v>1865</v>
      </c>
    </row>
    <row r="173" spans="1:8" s="1" customFormat="1" x14ac:dyDescent="0.2">
      <c r="A173" s="62" t="s">
        <v>343</v>
      </c>
      <c r="B173" s="4"/>
      <c r="C173" s="4"/>
      <c r="D173" s="4"/>
      <c r="E173" s="4"/>
      <c r="F173" s="4"/>
      <c r="G173" s="4"/>
      <c r="H173" s="246"/>
    </row>
    <row r="174" spans="1:8" s="1" customFormat="1" x14ac:dyDescent="0.2">
      <c r="A174" s="62" t="s">
        <v>71</v>
      </c>
      <c r="B174" s="1" t="s">
        <v>1853</v>
      </c>
      <c r="C174" s="4"/>
      <c r="D174" s="4"/>
      <c r="E174" s="4"/>
      <c r="F174" s="4"/>
      <c r="G174" s="4"/>
      <c r="H174" s="246"/>
    </row>
    <row r="175" spans="1:8" s="1" customFormat="1" x14ac:dyDescent="0.2">
      <c r="A175" s="62" t="s">
        <v>246</v>
      </c>
      <c r="B175" s="1" t="s">
        <v>1854</v>
      </c>
      <c r="C175" s="4"/>
      <c r="D175" s="4"/>
      <c r="E175" s="4"/>
      <c r="F175" s="4"/>
      <c r="G175" s="4"/>
      <c r="H175" s="246"/>
    </row>
    <row r="176" spans="1:8" s="1" customFormat="1" x14ac:dyDescent="0.2">
      <c r="A176" s="62" t="s">
        <v>250</v>
      </c>
      <c r="B176" s="1" t="s">
        <v>1856</v>
      </c>
      <c r="C176" s="4"/>
      <c r="D176" s="4"/>
      <c r="E176" s="4"/>
      <c r="F176" s="4"/>
      <c r="G176" s="4"/>
      <c r="H176" s="246"/>
    </row>
    <row r="177" spans="1:8" s="1" customFormat="1" x14ac:dyDescent="0.2">
      <c r="A177" s="62"/>
      <c r="B177" s="4"/>
      <c r="C177" s="4"/>
      <c r="D177" s="4"/>
      <c r="E177" s="4"/>
      <c r="F177" s="4"/>
      <c r="G177" s="4"/>
      <c r="H177" s="246"/>
    </row>
    <row r="178" spans="1:8" s="1" customFormat="1" x14ac:dyDescent="0.2">
      <c r="A178" s="62" t="s">
        <v>1857</v>
      </c>
      <c r="B178" s="4"/>
      <c r="C178" s="4"/>
      <c r="D178" s="4"/>
      <c r="E178" s="4"/>
      <c r="F178" s="1" t="s">
        <v>1858</v>
      </c>
      <c r="G178" s="4"/>
      <c r="H178" s="246"/>
    </row>
    <row r="179" spans="1:8" s="1" customFormat="1" x14ac:dyDescent="0.2">
      <c r="A179" s="62"/>
      <c r="B179" s="4"/>
      <c r="C179" s="4"/>
      <c r="D179" s="4"/>
      <c r="E179" s="4"/>
      <c r="F179" s="1" t="s">
        <v>1859</v>
      </c>
      <c r="G179" s="4"/>
      <c r="H179" s="246"/>
    </row>
    <row r="180" spans="1:8" s="1" customFormat="1" x14ac:dyDescent="0.2">
      <c r="A180" s="62"/>
      <c r="B180" s="4"/>
      <c r="C180" s="4"/>
      <c r="D180" s="4"/>
      <c r="E180" s="4"/>
      <c r="F180" s="1" t="s">
        <v>1860</v>
      </c>
      <c r="G180" s="4"/>
      <c r="H180" s="246"/>
    </row>
    <row r="181" spans="1:8" s="1" customFormat="1" x14ac:dyDescent="0.2">
      <c r="A181" s="62"/>
      <c r="B181" s="4"/>
      <c r="C181" s="4"/>
      <c r="D181" s="4"/>
      <c r="E181" s="4"/>
      <c r="F181" s="1" t="s">
        <v>1861</v>
      </c>
      <c r="G181" s="4"/>
      <c r="H181" s="246"/>
    </row>
    <row r="182" spans="1:8" s="1" customFormat="1" x14ac:dyDescent="0.2">
      <c r="A182" s="62"/>
      <c r="B182" s="4"/>
      <c r="C182" s="4"/>
      <c r="D182" s="4"/>
      <c r="E182" s="4"/>
      <c r="F182" s="1" t="s">
        <v>1862</v>
      </c>
      <c r="G182" s="4"/>
      <c r="H182" s="246"/>
    </row>
    <row r="183" spans="1:8" s="1" customFormat="1" x14ac:dyDescent="0.2">
      <c r="A183" s="165"/>
      <c r="B183" s="4"/>
      <c r="C183" s="4"/>
      <c r="D183" s="4"/>
      <c r="E183" s="4"/>
      <c r="F183" s="4"/>
      <c r="G183" s="4"/>
      <c r="H183" s="246"/>
    </row>
    <row r="184" spans="1:8" s="1" customFormat="1" x14ac:dyDescent="0.2">
      <c r="A184" s="62" t="s">
        <v>1863</v>
      </c>
      <c r="B184" s="4"/>
      <c r="C184" s="4"/>
      <c r="D184" s="4"/>
      <c r="E184" s="4"/>
      <c r="F184" s="4"/>
      <c r="G184" s="4"/>
      <c r="H184" s="246"/>
    </row>
    <row r="185" spans="1:8" s="1" customFormat="1" ht="17" thickBot="1" x14ac:dyDescent="0.25">
      <c r="A185" s="165"/>
      <c r="B185" s="4"/>
      <c r="C185" s="4"/>
      <c r="D185" s="4"/>
      <c r="E185" s="4"/>
      <c r="F185" s="4"/>
      <c r="G185" s="4"/>
      <c r="H185" s="246"/>
    </row>
    <row r="186" spans="1:8" s="1" customFormat="1" x14ac:dyDescent="0.2">
      <c r="A186" s="69" t="s">
        <v>1766</v>
      </c>
      <c r="B186" s="113"/>
      <c r="C186" s="113"/>
      <c r="D186" s="113"/>
      <c r="E186" s="113"/>
      <c r="F186" s="113"/>
      <c r="G186" s="113"/>
      <c r="H186" s="250"/>
    </row>
    <row r="187" spans="1:8" s="1" customFormat="1" ht="17" thickBot="1" x14ac:dyDescent="0.25">
      <c r="A187" s="65" t="s">
        <v>1767</v>
      </c>
      <c r="B187" s="115"/>
      <c r="C187" s="115"/>
      <c r="D187" s="115"/>
      <c r="E187" s="115"/>
      <c r="F187" s="115"/>
      <c r="G187" s="115"/>
      <c r="H187" s="252"/>
    </row>
    <row r="188" spans="1:8" s="1" customFormat="1" x14ac:dyDescent="0.2">
      <c r="A188" s="165"/>
      <c r="B188" s="4"/>
      <c r="C188" s="4"/>
      <c r="D188" s="4"/>
      <c r="E188" s="4"/>
      <c r="F188" s="4"/>
      <c r="G188" s="4"/>
      <c r="H188" s="246"/>
    </row>
    <row r="189" spans="1:8" s="1" customFormat="1" x14ac:dyDescent="0.2">
      <c r="A189" s="62" t="s">
        <v>1867</v>
      </c>
      <c r="B189" s="4"/>
      <c r="C189" s="4"/>
      <c r="D189" s="4"/>
      <c r="E189" s="4"/>
      <c r="F189" s="4" t="s">
        <v>1855</v>
      </c>
      <c r="H189" s="4" t="s">
        <v>1865</v>
      </c>
    </row>
    <row r="190" spans="1:8" s="1" customFormat="1" x14ac:dyDescent="0.2">
      <c r="A190" s="165"/>
      <c r="B190" s="4"/>
      <c r="C190" s="4"/>
      <c r="D190" s="4"/>
      <c r="E190" s="4"/>
      <c r="F190" s="4"/>
      <c r="G190" s="4"/>
      <c r="H190" s="246"/>
    </row>
    <row r="191" spans="1:8" s="1" customFormat="1" x14ac:dyDescent="0.2">
      <c r="A191" s="62" t="s">
        <v>1868</v>
      </c>
      <c r="B191" s="4"/>
      <c r="C191" s="4"/>
      <c r="D191" s="4"/>
      <c r="E191" s="4"/>
      <c r="F191" s="4" t="s">
        <v>1866</v>
      </c>
      <c r="G191" s="4"/>
      <c r="H191" s="246"/>
    </row>
    <row r="192" spans="1:8" s="1" customFormat="1" x14ac:dyDescent="0.2">
      <c r="A192" s="165"/>
      <c r="B192" s="4"/>
      <c r="C192" s="4"/>
      <c r="D192" s="4"/>
      <c r="E192" s="4"/>
      <c r="F192" s="4"/>
      <c r="G192" s="4"/>
      <c r="H192" s="246"/>
    </row>
    <row r="193" spans="1:8" s="1" customFormat="1" x14ac:dyDescent="0.2">
      <c r="A193" s="62" t="s">
        <v>1870</v>
      </c>
      <c r="B193" s="4"/>
      <c r="C193" s="4"/>
      <c r="D193" s="266">
        <f>3000/4</f>
        <v>750</v>
      </c>
      <c r="E193" s="4"/>
      <c r="F193" s="4" t="s">
        <v>1869</v>
      </c>
      <c r="G193" s="4"/>
      <c r="H193" s="246"/>
    </row>
    <row r="194" spans="1:8" s="1" customFormat="1" x14ac:dyDescent="0.2">
      <c r="A194" s="165"/>
      <c r="B194" s="4"/>
      <c r="C194" s="4"/>
      <c r="D194" s="4"/>
      <c r="E194" s="4"/>
      <c r="F194" s="4"/>
      <c r="G194" s="4"/>
      <c r="H194" s="246"/>
    </row>
    <row r="195" spans="1:8" s="1" customFormat="1" x14ac:dyDescent="0.2">
      <c r="A195" s="165"/>
      <c r="B195" s="4"/>
      <c r="C195" s="4"/>
      <c r="D195" s="266">
        <f>750+500</f>
        <v>1250</v>
      </c>
      <c r="E195" s="4"/>
      <c r="F195" s="4" t="s">
        <v>1871</v>
      </c>
      <c r="G195" s="4"/>
      <c r="H195" s="246"/>
    </row>
    <row r="196" spans="1:8" s="1" customFormat="1" x14ac:dyDescent="0.2">
      <c r="A196" s="165"/>
      <c r="B196" s="4"/>
      <c r="C196" s="4"/>
      <c r="D196" s="4"/>
      <c r="E196" s="4"/>
      <c r="F196" s="4"/>
      <c r="G196" s="4"/>
      <c r="H196" s="246"/>
    </row>
    <row r="197" spans="1:8" s="1" customFormat="1" x14ac:dyDescent="0.2">
      <c r="A197" s="165"/>
      <c r="B197" s="4"/>
      <c r="C197" s="4"/>
      <c r="D197" s="4"/>
      <c r="E197" s="4"/>
      <c r="F197" s="4" t="s">
        <v>1872</v>
      </c>
      <c r="G197" s="4"/>
      <c r="H197" s="246"/>
    </row>
    <row r="198" spans="1:8" s="1" customFormat="1" x14ac:dyDescent="0.2">
      <c r="A198" s="165"/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165"/>
      <c r="B199" s="4"/>
      <c r="C199" s="4"/>
      <c r="D199" s="4"/>
      <c r="E199" s="4"/>
      <c r="F199" s="4" t="s">
        <v>1873</v>
      </c>
      <c r="G199" s="4"/>
      <c r="H199" s="246"/>
    </row>
    <row r="200" spans="1:8" s="1" customFormat="1" x14ac:dyDescent="0.2">
      <c r="A200" s="165"/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1874</v>
      </c>
      <c r="B201" s="4"/>
      <c r="C201" s="4"/>
      <c r="D201" s="4"/>
      <c r="E201" s="4"/>
      <c r="F201" s="4"/>
      <c r="G201" s="4"/>
      <c r="H201" s="246"/>
    </row>
    <row r="202" spans="1:8" s="1" customFormat="1" ht="17" thickBot="1" x14ac:dyDescent="0.25">
      <c r="A202" s="62"/>
      <c r="B202" s="4"/>
      <c r="C202" s="4"/>
      <c r="D202" s="4"/>
      <c r="E202" s="4"/>
      <c r="F202" s="4"/>
      <c r="G202" s="4"/>
      <c r="H202" s="246"/>
    </row>
    <row r="203" spans="1:8" s="1" customFormat="1" ht="17" thickBot="1" x14ac:dyDescent="0.25">
      <c r="A203" s="264" t="s">
        <v>1768</v>
      </c>
      <c r="B203" s="8"/>
      <c r="C203" s="8"/>
      <c r="D203" s="8"/>
      <c r="E203" s="8"/>
      <c r="F203" s="8"/>
      <c r="G203" s="8"/>
      <c r="H203" s="249"/>
    </row>
    <row r="204" spans="1:8" s="1" customFormat="1" x14ac:dyDescent="0.2">
      <c r="A204" s="62" t="s">
        <v>1877</v>
      </c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62" t="s">
        <v>1875</v>
      </c>
      <c r="B205" s="4"/>
      <c r="C205" s="4"/>
      <c r="D205" s="4"/>
      <c r="E205" s="4"/>
      <c r="F205" s="4"/>
      <c r="G205" s="4"/>
      <c r="H205" s="246"/>
    </row>
    <row r="206" spans="1:8" s="1" customFormat="1" x14ac:dyDescent="0.2">
      <c r="A206" s="62"/>
      <c r="B206" s="4"/>
      <c r="C206" s="4"/>
      <c r="D206" s="4"/>
      <c r="E206" s="4"/>
      <c r="F206" s="4"/>
      <c r="G206" s="4"/>
      <c r="H206" s="246"/>
    </row>
    <row r="207" spans="1:8" s="1" customFormat="1" x14ac:dyDescent="0.2">
      <c r="A207" s="62" t="s">
        <v>1876</v>
      </c>
      <c r="B207" s="4"/>
      <c r="C207" s="4"/>
      <c r="D207" s="4"/>
      <c r="E207" s="4"/>
      <c r="F207" s="4"/>
      <c r="G207" s="4"/>
      <c r="H207" s="246"/>
    </row>
    <row r="208" spans="1:8" s="1" customFormat="1" ht="17" thickBot="1" x14ac:dyDescent="0.25">
      <c r="A208" s="62"/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9" t="s">
        <v>1769</v>
      </c>
      <c r="B209" s="113"/>
      <c r="C209" s="113"/>
      <c r="D209" s="113"/>
      <c r="E209" s="113"/>
      <c r="F209" s="113"/>
      <c r="G209" s="113"/>
      <c r="H209" s="250"/>
    </row>
    <row r="210" spans="1:8" s="1" customFormat="1" ht="17" thickBot="1" x14ac:dyDescent="0.25">
      <c r="A210" s="65" t="s">
        <v>1770</v>
      </c>
      <c r="B210" s="115"/>
      <c r="C210" s="115"/>
      <c r="D210" s="115"/>
      <c r="E210" s="115"/>
      <c r="F210" s="115"/>
      <c r="G210" s="115"/>
      <c r="H210" s="252"/>
    </row>
    <row r="211" spans="1:8" s="1" customFormat="1" x14ac:dyDescent="0.2">
      <c r="A211" s="62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62" t="s">
        <v>1878</v>
      </c>
      <c r="B212" s="4"/>
      <c r="C212" s="4"/>
      <c r="D212" s="4"/>
      <c r="E212" s="4"/>
      <c r="F212" s="4"/>
      <c r="G212" s="4"/>
      <c r="H212" s="246"/>
    </row>
    <row r="213" spans="1:8" s="1" customFormat="1" x14ac:dyDescent="0.2">
      <c r="A213" s="62" t="s">
        <v>1879</v>
      </c>
      <c r="B213" s="4"/>
      <c r="C213" s="4"/>
      <c r="D213" s="4"/>
      <c r="E213" s="4"/>
      <c r="F213" s="4"/>
      <c r="G213" s="4"/>
      <c r="H213" s="246"/>
    </row>
    <row r="214" spans="1:8" s="1" customFormat="1" x14ac:dyDescent="0.2">
      <c r="A214" s="62" t="s">
        <v>1880</v>
      </c>
      <c r="B214" s="4"/>
      <c r="C214" s="4"/>
      <c r="D214" s="4"/>
      <c r="E214" s="4"/>
      <c r="F214" s="4"/>
      <c r="G214" s="4"/>
      <c r="H214" s="246"/>
    </row>
    <row r="215" spans="1:8" s="1" customFormat="1" x14ac:dyDescent="0.2">
      <c r="A215" s="62" t="s">
        <v>1881</v>
      </c>
      <c r="B215" s="4"/>
      <c r="C215" s="4"/>
      <c r="D215" s="4"/>
      <c r="E215" s="4"/>
      <c r="F215" s="4"/>
      <c r="G215" s="4"/>
      <c r="H215" s="246"/>
    </row>
    <row r="216" spans="1:8" s="1" customFormat="1" x14ac:dyDescent="0.2">
      <c r="A216" s="62" t="s">
        <v>1882</v>
      </c>
      <c r="B216" s="4"/>
      <c r="C216" s="4"/>
      <c r="D216" s="4"/>
      <c r="E216" s="4"/>
      <c r="F216" s="4"/>
      <c r="G216" s="4"/>
      <c r="H216" s="246"/>
    </row>
    <row r="217" spans="1:8" s="1" customFormat="1" x14ac:dyDescent="0.2">
      <c r="A217" s="62" t="s">
        <v>1883</v>
      </c>
      <c r="B217" s="4"/>
      <c r="C217" s="4"/>
      <c r="D217" s="4"/>
      <c r="E217" s="4"/>
      <c r="F217" s="4"/>
      <c r="G217" s="4"/>
      <c r="H217" s="246"/>
    </row>
    <row r="218" spans="1:8" s="1" customFormat="1" x14ac:dyDescent="0.2">
      <c r="A218" s="62" t="s">
        <v>1884</v>
      </c>
      <c r="B218" s="4"/>
      <c r="C218" s="4"/>
      <c r="D218" s="4"/>
      <c r="E218" s="4"/>
      <c r="F218" s="4"/>
      <c r="G218" s="4"/>
      <c r="H218" s="246"/>
    </row>
    <row r="219" spans="1:8" s="1" customFormat="1" x14ac:dyDescent="0.2">
      <c r="A219" s="165"/>
      <c r="B219" s="4"/>
      <c r="C219" s="4"/>
      <c r="D219" s="4"/>
      <c r="E219" s="4"/>
      <c r="F219" s="4"/>
      <c r="G219" s="4"/>
      <c r="H219" s="246"/>
    </row>
    <row r="220" spans="1:8" s="1" customFormat="1" x14ac:dyDescent="0.2">
      <c r="A220" s="117" t="s">
        <v>1771</v>
      </c>
      <c r="B220" s="117"/>
      <c r="C220" s="117" t="s">
        <v>1814</v>
      </c>
      <c r="D220" s="117"/>
      <c r="E220" s="117"/>
      <c r="F220" s="117"/>
      <c r="G220" s="117"/>
      <c r="H220" s="117"/>
    </row>
    <row r="221" spans="1:8" s="1" customFormat="1" x14ac:dyDescent="0.2">
      <c r="A221" s="62" t="s">
        <v>1772</v>
      </c>
      <c r="B221" s="4"/>
      <c r="C221" s="4"/>
      <c r="D221" s="4"/>
      <c r="E221" s="4"/>
      <c r="F221" s="4"/>
      <c r="G221" s="4"/>
      <c r="H221" s="246"/>
    </row>
    <row r="222" spans="1:8" s="1" customFormat="1" x14ac:dyDescent="0.2">
      <c r="A222" s="62" t="s">
        <v>1773</v>
      </c>
      <c r="B222" s="4"/>
      <c r="C222" s="4"/>
      <c r="D222" s="4"/>
      <c r="E222" s="4"/>
      <c r="F222" s="4"/>
      <c r="G222" s="4"/>
      <c r="H222" s="246"/>
    </row>
    <row r="223" spans="1:8" s="1" customFormat="1" x14ac:dyDescent="0.2">
      <c r="A223" s="62" t="s">
        <v>1774</v>
      </c>
      <c r="B223" s="4"/>
      <c r="C223" s="4"/>
      <c r="D223" s="4"/>
      <c r="E223" s="4"/>
      <c r="F223" s="4"/>
      <c r="G223" s="4"/>
      <c r="H223" s="246"/>
    </row>
    <row r="224" spans="1:8" s="1" customFormat="1" x14ac:dyDescent="0.2">
      <c r="A224" s="62" t="s">
        <v>1775</v>
      </c>
      <c r="B224" s="4"/>
      <c r="C224" s="4"/>
      <c r="D224" s="4"/>
      <c r="E224" s="4"/>
      <c r="F224" s="4"/>
      <c r="G224" s="4"/>
      <c r="H224" s="246"/>
    </row>
    <row r="225" spans="1:8" s="1" customFormat="1" x14ac:dyDescent="0.2">
      <c r="A225" s="62" t="s">
        <v>1776</v>
      </c>
      <c r="B225" s="4"/>
      <c r="C225" s="4"/>
      <c r="D225" s="4"/>
      <c r="E225" s="4"/>
      <c r="F225" s="4"/>
      <c r="G225" s="4"/>
      <c r="H225" s="246"/>
    </row>
    <row r="226" spans="1:8" s="1" customFormat="1" x14ac:dyDescent="0.2">
      <c r="A226" s="62" t="s">
        <v>1777</v>
      </c>
      <c r="B226" s="4"/>
      <c r="C226" s="4"/>
      <c r="D226" s="4"/>
      <c r="E226" s="4"/>
      <c r="F226" s="4"/>
      <c r="G226" s="4"/>
      <c r="H226" s="246"/>
    </row>
    <row r="227" spans="1:8" s="1" customFormat="1" x14ac:dyDescent="0.2">
      <c r="A227" s="62" t="s">
        <v>1778</v>
      </c>
      <c r="B227" s="4"/>
      <c r="C227" s="4"/>
      <c r="D227" s="4"/>
      <c r="E227" s="4"/>
      <c r="F227" s="4"/>
      <c r="G227" s="4"/>
      <c r="H227" s="246"/>
    </row>
    <row r="228" spans="1:8" s="1" customFormat="1" x14ac:dyDescent="0.2">
      <c r="A228" s="62" t="s">
        <v>1779</v>
      </c>
      <c r="B228" s="4"/>
      <c r="C228" s="4"/>
      <c r="D228" s="4"/>
      <c r="E228" s="4"/>
      <c r="F228" s="4"/>
      <c r="G228" s="4"/>
      <c r="H228" s="246"/>
    </row>
    <row r="229" spans="1:8" s="1" customFormat="1" x14ac:dyDescent="0.2">
      <c r="A229" s="62" t="s">
        <v>1780</v>
      </c>
      <c r="B229" s="4"/>
      <c r="C229" s="4"/>
      <c r="D229" s="4"/>
      <c r="E229" s="4"/>
      <c r="F229" s="4"/>
      <c r="G229" s="4"/>
      <c r="H229" s="246"/>
    </row>
    <row r="230" spans="1:8" s="1" customFormat="1" x14ac:dyDescent="0.2">
      <c r="A230" s="62" t="s">
        <v>1781</v>
      </c>
      <c r="B230" s="4"/>
      <c r="C230" s="4"/>
      <c r="D230" s="4"/>
      <c r="E230" s="4"/>
      <c r="F230" s="4"/>
      <c r="G230" s="4"/>
      <c r="H230" s="246"/>
    </row>
    <row r="231" spans="1:8" s="1" customFormat="1" x14ac:dyDescent="0.2">
      <c r="A231" s="62" t="s">
        <v>1782</v>
      </c>
      <c r="B231" s="4"/>
      <c r="C231" s="4"/>
      <c r="D231" s="4"/>
      <c r="E231" s="4"/>
      <c r="F231" s="4"/>
      <c r="G231" s="4"/>
      <c r="H231" s="246"/>
    </row>
    <row r="232" spans="1:8" s="1" customFormat="1" x14ac:dyDescent="0.2">
      <c r="A232" s="62" t="s">
        <v>1783</v>
      </c>
      <c r="B232" s="4"/>
      <c r="C232" s="4"/>
      <c r="D232" s="4"/>
      <c r="E232" s="4"/>
      <c r="F232" s="4"/>
      <c r="G232" s="4"/>
      <c r="H232" s="246"/>
    </row>
    <row r="233" spans="1:8" s="1" customFormat="1" x14ac:dyDescent="0.2">
      <c r="A233" s="165"/>
      <c r="B233" s="4"/>
      <c r="C233" s="4"/>
      <c r="D233" s="4"/>
      <c r="E233" s="4"/>
      <c r="F233" s="4"/>
      <c r="G233" s="4"/>
      <c r="H233" s="246"/>
    </row>
    <row r="234" spans="1:8" s="1" customFormat="1" x14ac:dyDescent="0.2">
      <c r="A234" s="165" t="s">
        <v>78</v>
      </c>
      <c r="B234" s="4"/>
      <c r="C234" s="4"/>
      <c r="D234" s="4"/>
      <c r="E234" s="4"/>
      <c r="F234" s="4"/>
      <c r="G234" s="4"/>
      <c r="H234" s="246"/>
    </row>
    <row r="235" spans="1:8" s="1" customFormat="1" ht="17" thickBot="1" x14ac:dyDescent="0.25">
      <c r="A235" s="165"/>
      <c r="B235" s="4"/>
      <c r="C235" s="4"/>
      <c r="D235" s="4"/>
      <c r="E235" s="4"/>
      <c r="F235" s="4"/>
      <c r="G235" s="4"/>
      <c r="H235" s="246"/>
    </row>
    <row r="236" spans="1:8" s="1" customFormat="1" x14ac:dyDescent="0.2">
      <c r="A236" s="69" t="s">
        <v>1773</v>
      </c>
      <c r="B236" s="113"/>
      <c r="C236" s="113"/>
      <c r="D236" s="113"/>
      <c r="E236" s="113"/>
      <c r="F236" s="113"/>
      <c r="G236" s="113"/>
      <c r="H236" s="250"/>
    </row>
    <row r="237" spans="1:8" s="1" customFormat="1" x14ac:dyDescent="0.2">
      <c r="A237" s="64" t="s">
        <v>1774</v>
      </c>
      <c r="B237" s="4"/>
      <c r="C237" s="4"/>
      <c r="D237" s="4"/>
      <c r="E237" s="4"/>
      <c r="F237" s="4"/>
      <c r="G237" s="4"/>
      <c r="H237" s="251"/>
    </row>
    <row r="238" spans="1:8" s="1" customFormat="1" x14ac:dyDescent="0.2">
      <c r="A238" s="64" t="s">
        <v>1775</v>
      </c>
      <c r="B238" s="4"/>
      <c r="C238" s="4"/>
      <c r="D238" s="4"/>
      <c r="E238" s="4"/>
      <c r="F238" s="4"/>
      <c r="G238" s="4"/>
      <c r="H238" s="251"/>
    </row>
    <row r="239" spans="1:8" s="1" customFormat="1" ht="17" thickBot="1" x14ac:dyDescent="0.25">
      <c r="A239" s="65" t="s">
        <v>1776</v>
      </c>
      <c r="B239" s="115"/>
      <c r="C239" s="115"/>
      <c r="D239" s="115"/>
      <c r="E239" s="115"/>
      <c r="F239" s="115"/>
      <c r="G239" s="115"/>
      <c r="H239" s="252"/>
    </row>
    <row r="240" spans="1:8" s="1" customFormat="1" x14ac:dyDescent="0.2">
      <c r="A240" s="165"/>
      <c r="B240" s="4"/>
      <c r="C240" s="4"/>
      <c r="D240" s="4"/>
      <c r="E240" s="4"/>
      <c r="F240" s="4"/>
      <c r="G240" s="4"/>
      <c r="H240" s="246"/>
    </row>
    <row r="241" spans="1:8" s="1" customFormat="1" x14ac:dyDescent="0.2">
      <c r="A241" s="161"/>
      <c r="B241" s="21" t="s">
        <v>1888</v>
      </c>
      <c r="C241" s="4"/>
      <c r="D241" s="4"/>
      <c r="E241" s="1" t="s">
        <v>1887</v>
      </c>
      <c r="F241" s="4"/>
      <c r="G241" s="4"/>
      <c r="H241" s="246"/>
    </row>
    <row r="242" spans="1:8" s="1" customFormat="1" x14ac:dyDescent="0.2">
      <c r="A242" s="161">
        <v>70</v>
      </c>
      <c r="B242" s="21" t="s">
        <v>1885</v>
      </c>
      <c r="C242" s="4"/>
      <c r="D242" s="161">
        <v>80</v>
      </c>
      <c r="E242" s="21" t="s">
        <v>1885</v>
      </c>
      <c r="F242" s="4"/>
      <c r="G242" s="4"/>
      <c r="H242" s="246"/>
    </row>
    <row r="243" spans="1:8" s="1" customFormat="1" x14ac:dyDescent="0.2">
      <c r="A243" s="161">
        <v>15</v>
      </c>
      <c r="B243" s="21" t="s">
        <v>1886</v>
      </c>
      <c r="C243" s="4"/>
      <c r="D243" s="161">
        <v>7</v>
      </c>
      <c r="E243" s="21" t="s">
        <v>1886</v>
      </c>
      <c r="F243" s="4"/>
      <c r="G243" s="4"/>
      <c r="H243" s="246"/>
    </row>
    <row r="244" spans="1:8" s="1" customFormat="1" x14ac:dyDescent="0.2">
      <c r="A244" s="165"/>
      <c r="B244" s="4"/>
      <c r="C244" s="4"/>
      <c r="D244" s="4"/>
      <c r="E244" s="4"/>
      <c r="F244" s="4"/>
      <c r="G244" s="4"/>
      <c r="H244" s="246"/>
    </row>
    <row r="245" spans="1:8" s="1" customFormat="1" x14ac:dyDescent="0.2">
      <c r="A245" s="256"/>
      <c r="B245" s="128" t="s">
        <v>280</v>
      </c>
      <c r="C245" s="128" t="s">
        <v>280</v>
      </c>
      <c r="D245" s="128" t="s">
        <v>1341</v>
      </c>
      <c r="E245" s="4"/>
      <c r="F245" s="4"/>
      <c r="G245" s="4"/>
      <c r="H245" s="246" t="s">
        <v>402</v>
      </c>
    </row>
    <row r="246" spans="1:8" s="1" customFormat="1" x14ac:dyDescent="0.2">
      <c r="A246" s="267" t="s">
        <v>71</v>
      </c>
      <c r="B246" s="268" t="s">
        <v>1889</v>
      </c>
      <c r="C246" s="268" t="s">
        <v>1890</v>
      </c>
      <c r="D246" s="268" t="s">
        <v>280</v>
      </c>
      <c r="E246" s="4"/>
      <c r="F246" s="4"/>
      <c r="G246" s="4"/>
      <c r="H246" s="246"/>
    </row>
    <row r="247" spans="1:8" s="1" customFormat="1" x14ac:dyDescent="0.2">
      <c r="A247" s="161">
        <v>0</v>
      </c>
      <c r="B247" s="128">
        <f>-A243</f>
        <v>-15</v>
      </c>
      <c r="C247" s="128">
        <f>--D243</f>
        <v>7</v>
      </c>
      <c r="D247" s="128">
        <f>B247+C247</f>
        <v>-8</v>
      </c>
      <c r="E247" s="4"/>
      <c r="F247" s="4"/>
      <c r="G247" s="4"/>
      <c r="H247" s="246"/>
    </row>
    <row r="248" spans="1:8" s="1" customFormat="1" x14ac:dyDescent="0.2">
      <c r="A248" s="161">
        <f>A247+10</f>
        <v>10</v>
      </c>
      <c r="B248" s="128">
        <f>B247</f>
        <v>-15</v>
      </c>
      <c r="C248" s="128">
        <f>C247</f>
        <v>7</v>
      </c>
      <c r="D248" s="128">
        <f t="shared" ref="D248:D261" si="0">B248+C248</f>
        <v>-8</v>
      </c>
      <c r="E248" s="4"/>
      <c r="F248" s="4"/>
      <c r="G248" s="4"/>
      <c r="H248" s="246"/>
    </row>
    <row r="249" spans="1:8" s="1" customFormat="1" x14ac:dyDescent="0.2">
      <c r="A249" s="161">
        <f t="shared" ref="A249:A261" si="1">A248+10</f>
        <v>20</v>
      </c>
      <c r="B249" s="128">
        <f t="shared" ref="B249:B254" si="2">B248</f>
        <v>-15</v>
      </c>
      <c r="C249" s="128">
        <f t="shared" ref="C249:C255" si="3">C248</f>
        <v>7</v>
      </c>
      <c r="D249" s="128">
        <f t="shared" si="0"/>
        <v>-8</v>
      </c>
      <c r="E249" s="4"/>
      <c r="F249" s="4"/>
      <c r="G249" s="4"/>
      <c r="H249" s="246"/>
    </row>
    <row r="250" spans="1:8" s="1" customFormat="1" x14ac:dyDescent="0.2">
      <c r="A250" s="161">
        <f t="shared" si="1"/>
        <v>30</v>
      </c>
      <c r="B250" s="128">
        <f t="shared" si="2"/>
        <v>-15</v>
      </c>
      <c r="C250" s="128">
        <f t="shared" si="3"/>
        <v>7</v>
      </c>
      <c r="D250" s="128">
        <f t="shared" si="0"/>
        <v>-8</v>
      </c>
      <c r="E250" s="4"/>
      <c r="F250" s="4"/>
      <c r="G250" s="4"/>
      <c r="H250" s="246"/>
    </row>
    <row r="251" spans="1:8" s="1" customFormat="1" x14ac:dyDescent="0.2">
      <c r="A251" s="161">
        <f t="shared" si="1"/>
        <v>40</v>
      </c>
      <c r="B251" s="128">
        <f t="shared" si="2"/>
        <v>-15</v>
      </c>
      <c r="C251" s="128">
        <f t="shared" si="3"/>
        <v>7</v>
      </c>
      <c r="D251" s="128">
        <f t="shared" si="0"/>
        <v>-8</v>
      </c>
      <c r="E251" s="4"/>
      <c r="F251" s="4"/>
      <c r="G251" s="4"/>
      <c r="H251" s="246"/>
    </row>
    <row r="252" spans="1:8" s="1" customFormat="1" x14ac:dyDescent="0.2">
      <c r="A252" s="161">
        <f t="shared" si="1"/>
        <v>50</v>
      </c>
      <c r="B252" s="128">
        <f t="shared" si="2"/>
        <v>-15</v>
      </c>
      <c r="C252" s="128">
        <f t="shared" si="3"/>
        <v>7</v>
      </c>
      <c r="D252" s="128">
        <f t="shared" si="0"/>
        <v>-8</v>
      </c>
      <c r="E252" s="4"/>
      <c r="F252" s="4"/>
      <c r="G252" s="4"/>
      <c r="H252" s="246"/>
    </row>
    <row r="253" spans="1:8" s="1" customFormat="1" x14ac:dyDescent="0.2">
      <c r="A253" s="161">
        <f t="shared" si="1"/>
        <v>60</v>
      </c>
      <c r="B253" s="128">
        <f t="shared" si="2"/>
        <v>-15</v>
      </c>
      <c r="C253" s="128">
        <f t="shared" si="3"/>
        <v>7</v>
      </c>
      <c r="D253" s="128">
        <f t="shared" si="0"/>
        <v>-8</v>
      </c>
      <c r="E253" s="4"/>
      <c r="F253" s="4"/>
      <c r="G253" s="4"/>
      <c r="H253" s="246"/>
    </row>
    <row r="254" spans="1:8" s="1" customFormat="1" x14ac:dyDescent="0.2">
      <c r="A254" s="161">
        <f t="shared" si="1"/>
        <v>70</v>
      </c>
      <c r="B254" s="128">
        <f t="shared" si="2"/>
        <v>-15</v>
      </c>
      <c r="C254" s="128">
        <f t="shared" si="3"/>
        <v>7</v>
      </c>
      <c r="D254" s="128">
        <f t="shared" si="0"/>
        <v>-8</v>
      </c>
      <c r="E254" s="4"/>
      <c r="F254" s="4"/>
      <c r="G254" s="4"/>
      <c r="H254" s="246"/>
    </row>
    <row r="255" spans="1:8" s="1" customFormat="1" x14ac:dyDescent="0.2">
      <c r="A255" s="161">
        <f t="shared" si="1"/>
        <v>80</v>
      </c>
      <c r="B255" s="128">
        <f>A255-$A$242-$A$243</f>
        <v>-5</v>
      </c>
      <c r="C255" s="128">
        <f t="shared" si="3"/>
        <v>7</v>
      </c>
      <c r="D255" s="128">
        <f t="shared" si="0"/>
        <v>2</v>
      </c>
      <c r="E255" s="4"/>
      <c r="F255" s="4"/>
      <c r="G255" s="4"/>
      <c r="H255" s="246"/>
    </row>
    <row r="256" spans="1:8" s="1" customFormat="1" x14ac:dyDescent="0.2">
      <c r="A256" s="161">
        <f t="shared" si="1"/>
        <v>90</v>
      </c>
      <c r="B256" s="128">
        <f t="shared" ref="B256:B261" si="4">A256-$A$242-$A$243</f>
        <v>5</v>
      </c>
      <c r="C256" s="128">
        <f>-(A256-$D$242-$D$243)</f>
        <v>-3</v>
      </c>
      <c r="D256" s="128">
        <f t="shared" si="0"/>
        <v>2</v>
      </c>
      <c r="E256" s="128" t="s">
        <v>71</v>
      </c>
      <c r="F256" s="4"/>
      <c r="G256" s="4"/>
      <c r="H256" s="246"/>
    </row>
    <row r="257" spans="1:8" s="1" customFormat="1" x14ac:dyDescent="0.2">
      <c r="A257" s="161">
        <f t="shared" si="1"/>
        <v>100</v>
      </c>
      <c r="B257" s="128">
        <f t="shared" si="4"/>
        <v>15</v>
      </c>
      <c r="C257" s="128">
        <f t="shared" ref="C257:C261" si="5">-(A257-$D$242-$D$243)</f>
        <v>-13</v>
      </c>
      <c r="D257" s="128">
        <f t="shared" si="0"/>
        <v>2</v>
      </c>
      <c r="E257" s="4"/>
      <c r="F257" s="4"/>
      <c r="G257" s="4"/>
      <c r="H257" s="246"/>
    </row>
    <row r="258" spans="1:8" s="1" customFormat="1" x14ac:dyDescent="0.2">
      <c r="A258" s="161">
        <f t="shared" si="1"/>
        <v>110</v>
      </c>
      <c r="B258" s="128">
        <f t="shared" si="4"/>
        <v>25</v>
      </c>
      <c r="C258" s="128">
        <f t="shared" si="5"/>
        <v>-23</v>
      </c>
      <c r="D258" s="128">
        <f t="shared" si="0"/>
        <v>2</v>
      </c>
      <c r="E258" s="4"/>
      <c r="F258" s="4"/>
      <c r="G258" s="4"/>
      <c r="H258" s="246"/>
    </row>
    <row r="259" spans="1:8" s="1" customFormat="1" x14ac:dyDescent="0.2">
      <c r="A259" s="161">
        <f t="shared" si="1"/>
        <v>120</v>
      </c>
      <c r="B259" s="128">
        <f t="shared" si="4"/>
        <v>35</v>
      </c>
      <c r="C259" s="128">
        <f t="shared" si="5"/>
        <v>-33</v>
      </c>
      <c r="D259" s="128">
        <f t="shared" si="0"/>
        <v>2</v>
      </c>
      <c r="E259" s="4"/>
      <c r="F259" s="4"/>
      <c r="G259" s="4"/>
      <c r="H259" s="246"/>
    </row>
    <row r="260" spans="1:8" s="1" customFormat="1" x14ac:dyDescent="0.2">
      <c r="A260" s="161">
        <f t="shared" si="1"/>
        <v>130</v>
      </c>
      <c r="B260" s="128">
        <f t="shared" si="4"/>
        <v>45</v>
      </c>
      <c r="C260" s="128">
        <f t="shared" si="5"/>
        <v>-43</v>
      </c>
      <c r="D260" s="128">
        <f t="shared" si="0"/>
        <v>2</v>
      </c>
      <c r="E260" s="4"/>
      <c r="F260" s="4"/>
      <c r="G260" s="4"/>
      <c r="H260" s="246"/>
    </row>
    <row r="261" spans="1:8" s="1" customFormat="1" x14ac:dyDescent="0.2">
      <c r="A261" s="161">
        <f t="shared" si="1"/>
        <v>140</v>
      </c>
      <c r="B261" s="128">
        <f t="shared" si="4"/>
        <v>55</v>
      </c>
      <c r="C261" s="128">
        <f t="shared" si="5"/>
        <v>-53</v>
      </c>
      <c r="D261" s="128">
        <f t="shared" si="0"/>
        <v>2</v>
      </c>
      <c r="E261" s="4"/>
      <c r="F261" s="4"/>
      <c r="G261" s="4"/>
      <c r="H261" s="246"/>
    </row>
    <row r="262" spans="1:8" s="1" customFormat="1" x14ac:dyDescent="0.2">
      <c r="A262" s="165"/>
      <c r="B262" s="4"/>
      <c r="C262" s="4"/>
      <c r="D262" s="4"/>
      <c r="E262" s="4"/>
      <c r="F262" s="4"/>
      <c r="G262" s="4"/>
      <c r="H262" s="246"/>
    </row>
    <row r="263" spans="1:8" s="1" customFormat="1" x14ac:dyDescent="0.2">
      <c r="A263" s="165"/>
      <c r="B263" s="4"/>
      <c r="C263" s="4"/>
      <c r="D263" s="4"/>
      <c r="E263" s="4"/>
      <c r="F263" s="4"/>
      <c r="G263" s="4"/>
      <c r="H263" s="246"/>
    </row>
    <row r="264" spans="1:8" s="1" customFormat="1" x14ac:dyDescent="0.2">
      <c r="A264" s="1" t="s">
        <v>1891</v>
      </c>
      <c r="B264" s="4"/>
      <c r="C264" s="4"/>
      <c r="D264" s="4"/>
      <c r="E264" s="4"/>
      <c r="F264" s="4"/>
      <c r="G264" s="4"/>
      <c r="H264" s="246"/>
    </row>
    <row r="265" spans="1:8" s="1" customFormat="1" x14ac:dyDescent="0.2">
      <c r="A265" s="62" t="s">
        <v>1892</v>
      </c>
      <c r="B265" s="4"/>
      <c r="C265" s="4"/>
      <c r="D265" s="4"/>
      <c r="E265" s="4"/>
      <c r="F265" s="4"/>
      <c r="G265" s="4"/>
      <c r="H265" s="246"/>
    </row>
    <row r="266" spans="1:8" s="1" customFormat="1" x14ac:dyDescent="0.2">
      <c r="A266" s="62" t="s">
        <v>1893</v>
      </c>
      <c r="B266" s="4"/>
      <c r="C266" s="4"/>
      <c r="D266" s="4"/>
      <c r="E266" s="4"/>
      <c r="F266" s="4"/>
      <c r="G266" s="4"/>
      <c r="H266" s="246"/>
    </row>
    <row r="267" spans="1:8" s="1" customFormat="1" x14ac:dyDescent="0.2">
      <c r="A267" s="62" t="s">
        <v>1894</v>
      </c>
      <c r="B267" s="4"/>
      <c r="C267" s="4"/>
      <c r="D267" s="4"/>
      <c r="E267" s="4"/>
      <c r="F267" s="4"/>
      <c r="G267" s="4"/>
      <c r="H267" s="246"/>
    </row>
    <row r="268" spans="1:8" s="1" customFormat="1" x14ac:dyDescent="0.2">
      <c r="A268" s="62" t="s">
        <v>1895</v>
      </c>
      <c r="B268" s="4"/>
      <c r="C268" s="4"/>
      <c r="D268" s="4"/>
      <c r="E268" s="4"/>
      <c r="F268" s="4"/>
      <c r="G268" s="4"/>
      <c r="H268" s="246"/>
    </row>
    <row r="269" spans="1:8" s="1" customFormat="1" ht="17" thickBot="1" x14ac:dyDescent="0.25">
      <c r="A269" s="165"/>
      <c r="B269" s="4"/>
      <c r="C269" s="4"/>
      <c r="D269" s="4"/>
      <c r="E269" s="4"/>
      <c r="F269" s="4"/>
      <c r="G269" s="4"/>
      <c r="H269" s="246"/>
    </row>
    <row r="270" spans="1:8" s="1" customFormat="1" x14ac:dyDescent="0.2">
      <c r="A270" s="69" t="s">
        <v>1777</v>
      </c>
      <c r="B270" s="113"/>
      <c r="C270" s="113"/>
      <c r="D270" s="113"/>
      <c r="E270" s="113"/>
      <c r="F270" s="113"/>
      <c r="G270" s="113"/>
      <c r="H270" s="250"/>
    </row>
    <row r="271" spans="1:8" s="1" customFormat="1" x14ac:dyDescent="0.2">
      <c r="A271" s="64" t="s">
        <v>1778</v>
      </c>
      <c r="B271" s="4"/>
      <c r="C271" s="4"/>
      <c r="D271" s="4"/>
      <c r="E271" s="4"/>
      <c r="F271" s="4"/>
      <c r="G271" s="4"/>
      <c r="H271" s="251"/>
    </row>
    <row r="272" spans="1:8" s="1" customFormat="1" x14ac:dyDescent="0.2">
      <c r="A272" s="64" t="s">
        <v>1779</v>
      </c>
      <c r="B272" s="4"/>
      <c r="C272" s="4"/>
      <c r="D272" s="4"/>
      <c r="E272" s="4"/>
      <c r="F272" s="4"/>
      <c r="G272" s="4"/>
      <c r="H272" s="251"/>
    </row>
    <row r="273" spans="1:8" s="1" customFormat="1" ht="17" thickBot="1" x14ac:dyDescent="0.25">
      <c r="A273" s="65" t="s">
        <v>1780</v>
      </c>
      <c r="B273" s="115"/>
      <c r="C273" s="115"/>
      <c r="D273" s="115"/>
      <c r="E273" s="115"/>
      <c r="F273" s="115"/>
      <c r="G273" s="115"/>
      <c r="H273" s="252"/>
    </row>
    <row r="274" spans="1:8" s="1" customFormat="1" x14ac:dyDescent="0.2">
      <c r="A274" s="165"/>
      <c r="B274" s="4"/>
      <c r="C274" s="4"/>
      <c r="D274" s="4"/>
      <c r="E274" s="4"/>
      <c r="F274" s="4"/>
      <c r="G274" s="4"/>
      <c r="H274" s="246"/>
    </row>
    <row r="275" spans="1:8" s="1" customFormat="1" x14ac:dyDescent="0.2">
      <c r="A275" s="165"/>
      <c r="B275" s="4" t="s">
        <v>1896</v>
      </c>
      <c r="C275" s="4"/>
      <c r="D275" s="4"/>
      <c r="E275" s="4" t="s">
        <v>1898</v>
      </c>
      <c r="F275" s="4"/>
      <c r="G275" s="4"/>
      <c r="H275" s="246"/>
    </row>
    <row r="276" spans="1:8" s="1" customFormat="1" x14ac:dyDescent="0.2">
      <c r="A276" s="165"/>
      <c r="B276" s="4" t="s">
        <v>1897</v>
      </c>
      <c r="C276" s="4"/>
      <c r="D276" s="4"/>
      <c r="E276" s="4" t="s">
        <v>1899</v>
      </c>
      <c r="F276" s="4"/>
      <c r="G276" s="4"/>
      <c r="H276" s="246"/>
    </row>
    <row r="277" spans="1:8" s="1" customFormat="1" x14ac:dyDescent="0.2">
      <c r="A277" s="165" t="s">
        <v>1900</v>
      </c>
      <c r="B277" s="4">
        <v>100</v>
      </c>
      <c r="C277" s="4"/>
      <c r="D277" s="165" t="s">
        <v>1900</v>
      </c>
      <c r="E277" s="4">
        <v>100</v>
      </c>
      <c r="F277" s="4"/>
      <c r="G277" s="4"/>
      <c r="H277" s="246"/>
    </row>
    <row r="278" spans="1:8" s="1" customFormat="1" x14ac:dyDescent="0.2">
      <c r="A278" s="165"/>
      <c r="B278" s="4"/>
      <c r="C278" s="4"/>
      <c r="D278" s="4"/>
      <c r="E278" s="4"/>
      <c r="F278" s="4"/>
      <c r="G278" s="4"/>
      <c r="H278" s="246"/>
    </row>
    <row r="279" spans="1:8" s="1" customFormat="1" x14ac:dyDescent="0.2">
      <c r="A279" s="165" t="s">
        <v>1901</v>
      </c>
      <c r="B279" s="4"/>
      <c r="C279" s="4"/>
      <c r="D279" s="4"/>
      <c r="E279" s="4"/>
      <c r="F279" s="4"/>
      <c r="G279" s="4"/>
      <c r="H279" s="246"/>
    </row>
    <row r="280" spans="1:8" s="1" customFormat="1" x14ac:dyDescent="0.2">
      <c r="A280" s="165"/>
      <c r="B280" s="4"/>
      <c r="C280" s="4"/>
      <c r="D280" s="4"/>
      <c r="E280" s="4"/>
      <c r="F280" s="4"/>
      <c r="G280" s="4" t="s">
        <v>1902</v>
      </c>
      <c r="H280" s="246" t="s">
        <v>92</v>
      </c>
    </row>
    <row r="281" spans="1:8" s="1" customFormat="1" x14ac:dyDescent="0.2">
      <c r="A281" s="62" t="s">
        <v>1905</v>
      </c>
      <c r="C281" s="1">
        <f>30*100-1900</f>
        <v>1100</v>
      </c>
      <c r="D281" s="4"/>
      <c r="E281" s="4"/>
      <c r="F281" s="4"/>
      <c r="G281" s="1" t="s">
        <v>1903</v>
      </c>
      <c r="H281" s="246"/>
    </row>
    <row r="282" spans="1:8" s="1" customFormat="1" x14ac:dyDescent="0.2">
      <c r="A282" s="165"/>
      <c r="B282" s="4"/>
      <c r="C282" s="4"/>
      <c r="D282" s="4"/>
      <c r="E282" s="4"/>
      <c r="F282" s="4"/>
      <c r="G282" s="4"/>
      <c r="H282" s="246"/>
    </row>
    <row r="283" spans="1:8" s="1" customFormat="1" x14ac:dyDescent="0.2">
      <c r="A283" s="62" t="s">
        <v>1906</v>
      </c>
      <c r="C283" s="1">
        <f>(1630-1608)*100-1150</f>
        <v>1050</v>
      </c>
      <c r="G283" s="1" t="s">
        <v>1904</v>
      </c>
      <c r="H283" s="246"/>
    </row>
    <row r="284" spans="1:8" s="1" customFormat="1" x14ac:dyDescent="0.2">
      <c r="A284" s="62" t="s">
        <v>1907</v>
      </c>
      <c r="C284" s="1">
        <f>-C283</f>
        <v>-1050</v>
      </c>
      <c r="G284" s="1" t="s">
        <v>1908</v>
      </c>
      <c r="H284" s="246"/>
    </row>
    <row r="285" spans="1:8" s="1" customFormat="1" x14ac:dyDescent="0.2">
      <c r="A285" s="165"/>
      <c r="B285" s="4"/>
      <c r="C285" s="4"/>
      <c r="D285" s="4"/>
      <c r="E285" s="4"/>
      <c r="F285" s="4"/>
      <c r="G285" s="4"/>
      <c r="H285" s="246"/>
    </row>
    <row r="286" spans="1:8" s="1" customFormat="1" x14ac:dyDescent="0.2">
      <c r="A286" s="165" t="s">
        <v>1909</v>
      </c>
      <c r="B286" s="4"/>
      <c r="C286" s="57">
        <f>C281+C284</f>
        <v>50</v>
      </c>
      <c r="D286" s="4"/>
      <c r="E286" s="4"/>
      <c r="F286" s="4"/>
      <c r="G286" s="1" t="s">
        <v>1910</v>
      </c>
      <c r="H286" s="246"/>
    </row>
    <row r="287" spans="1:8" s="1" customFormat="1" ht="17" thickBot="1" x14ac:dyDescent="0.25">
      <c r="A287" s="165"/>
      <c r="B287" s="4"/>
      <c r="C287" s="4"/>
      <c r="D287" s="4"/>
      <c r="E287" s="4"/>
      <c r="F287" s="4"/>
      <c r="G287" s="4"/>
      <c r="H287" s="246"/>
    </row>
    <row r="288" spans="1:8" s="1" customFormat="1" x14ac:dyDescent="0.2">
      <c r="A288" s="69" t="s">
        <v>1781</v>
      </c>
      <c r="B288" s="113"/>
      <c r="C288" s="113"/>
      <c r="D288" s="113"/>
      <c r="E288" s="113"/>
      <c r="F288" s="113"/>
      <c r="G288" s="113"/>
      <c r="H288" s="250"/>
    </row>
    <row r="289" spans="1:8" s="1" customFormat="1" x14ac:dyDescent="0.2">
      <c r="A289" s="64" t="s">
        <v>1782</v>
      </c>
      <c r="B289" s="4"/>
      <c r="C289" s="4"/>
      <c r="D289" s="4"/>
      <c r="E289" s="4"/>
      <c r="F289" s="4"/>
      <c r="G289" s="4"/>
      <c r="H289" s="251"/>
    </row>
    <row r="290" spans="1:8" s="1" customFormat="1" ht="17" thickBot="1" x14ac:dyDescent="0.25">
      <c r="A290" s="65" t="s">
        <v>1783</v>
      </c>
      <c r="B290" s="115"/>
      <c r="C290" s="115"/>
      <c r="D290" s="115"/>
      <c r="E290" s="115"/>
      <c r="F290" s="115"/>
      <c r="G290" s="115"/>
      <c r="H290" s="252"/>
    </row>
    <row r="291" spans="1:8" s="1" customFormat="1" x14ac:dyDescent="0.2">
      <c r="A291" s="165"/>
      <c r="B291" s="4"/>
      <c r="C291" s="4"/>
      <c r="D291" s="4"/>
      <c r="E291" s="4"/>
      <c r="F291" s="4"/>
      <c r="G291" s="4"/>
      <c r="H291" s="246"/>
    </row>
    <row r="292" spans="1:8" s="1" customFormat="1" x14ac:dyDescent="0.2">
      <c r="A292" s="62" t="s">
        <v>1911</v>
      </c>
      <c r="B292" s="4"/>
      <c r="C292" s="4"/>
      <c r="D292" s="4"/>
      <c r="E292" s="4"/>
      <c r="F292" s="4"/>
      <c r="G292" s="4"/>
      <c r="H292" s="246"/>
    </row>
    <row r="293" spans="1:8" s="1" customFormat="1" x14ac:dyDescent="0.2">
      <c r="A293" s="62" t="s">
        <v>1912</v>
      </c>
      <c r="B293" s="4"/>
      <c r="C293" s="4"/>
      <c r="D293" s="4"/>
      <c r="E293" s="4"/>
      <c r="F293" s="4"/>
      <c r="G293" s="4"/>
      <c r="H293" s="246"/>
    </row>
    <row r="294" spans="1:8" s="1" customFormat="1" x14ac:dyDescent="0.2">
      <c r="A294" s="165"/>
      <c r="B294" s="4"/>
      <c r="C294" s="4"/>
      <c r="D294" s="4"/>
      <c r="E294" s="4"/>
      <c r="F294" s="4"/>
      <c r="G294" s="4"/>
      <c r="H294" s="246"/>
    </row>
    <row r="295" spans="1:8" s="1" customFormat="1" x14ac:dyDescent="0.2">
      <c r="A295" s="117" t="s">
        <v>1785</v>
      </c>
      <c r="B295" s="117"/>
      <c r="C295" s="117" t="s">
        <v>1814</v>
      </c>
      <c r="D295" s="117"/>
      <c r="E295" s="117"/>
      <c r="F295" s="117"/>
      <c r="G295" s="117"/>
      <c r="H295" s="117"/>
    </row>
    <row r="296" spans="1:8" s="1" customFormat="1" x14ac:dyDescent="0.2">
      <c r="A296" s="62" t="s">
        <v>1786</v>
      </c>
      <c r="B296" s="4"/>
      <c r="C296" s="4"/>
      <c r="D296" s="4"/>
      <c r="E296" s="4"/>
      <c r="F296" s="4"/>
      <c r="G296" s="4"/>
      <c r="H296" s="246"/>
    </row>
    <row r="297" spans="1:8" s="1" customFormat="1" x14ac:dyDescent="0.2">
      <c r="A297" s="62" t="s">
        <v>1787</v>
      </c>
      <c r="B297" s="4"/>
      <c r="C297" s="4"/>
      <c r="D297" s="4"/>
      <c r="E297" s="4"/>
      <c r="F297" s="4"/>
      <c r="G297" s="4"/>
      <c r="H297" s="246"/>
    </row>
    <row r="298" spans="1:8" s="1" customFormat="1" x14ac:dyDescent="0.2">
      <c r="A298" s="62" t="s">
        <v>1788</v>
      </c>
      <c r="B298" s="4"/>
      <c r="C298" s="4"/>
      <c r="D298" s="4"/>
      <c r="E298" s="4"/>
      <c r="F298" s="4"/>
      <c r="G298" s="4"/>
      <c r="H298" s="246"/>
    </row>
    <row r="299" spans="1:8" s="1" customFormat="1" x14ac:dyDescent="0.2">
      <c r="A299" s="165"/>
      <c r="B299" s="4"/>
      <c r="C299" s="4"/>
      <c r="D299" s="4"/>
      <c r="E299" s="4"/>
      <c r="F299" s="4"/>
      <c r="G299" s="4"/>
      <c r="H299" s="246"/>
    </row>
    <row r="300" spans="1:8" s="1" customFormat="1" x14ac:dyDescent="0.2">
      <c r="A300" s="165"/>
      <c r="B300" s="4"/>
      <c r="C300" s="75" t="s">
        <v>389</v>
      </c>
      <c r="D300" s="75" t="s">
        <v>415</v>
      </c>
      <c r="E300" s="4"/>
      <c r="F300" s="4"/>
      <c r="G300" s="4"/>
      <c r="H300" s="246"/>
    </row>
    <row r="301" spans="1:8" s="1" customFormat="1" x14ac:dyDescent="0.2">
      <c r="A301" s="165"/>
      <c r="B301" s="4"/>
      <c r="C301" s="21" t="s">
        <v>418</v>
      </c>
      <c r="D301" s="21">
        <v>8</v>
      </c>
      <c r="E301" s="4"/>
      <c r="F301" s="4"/>
      <c r="G301" s="4"/>
      <c r="H301" s="246"/>
    </row>
    <row r="302" spans="1:8" s="1" customFormat="1" x14ac:dyDescent="0.2">
      <c r="A302" s="165"/>
      <c r="B302" s="4"/>
      <c r="C302" s="21" t="s">
        <v>419</v>
      </c>
      <c r="D302" s="21">
        <v>31</v>
      </c>
      <c r="E302" s="4"/>
      <c r="F302" s="4"/>
      <c r="G302" s="4"/>
      <c r="H302" s="246"/>
    </row>
    <row r="303" spans="1:8" s="1" customFormat="1" x14ac:dyDescent="0.2">
      <c r="A303" s="165"/>
      <c r="B303" s="4"/>
      <c r="C303" s="21" t="s">
        <v>421</v>
      </c>
      <c r="D303" s="21">
        <v>10</v>
      </c>
      <c r="E303" s="4"/>
      <c r="F303" s="4"/>
      <c r="G303" s="4"/>
      <c r="H303" s="246"/>
    </row>
    <row r="304" spans="1:8" s="1" customFormat="1" x14ac:dyDescent="0.2">
      <c r="A304" s="165"/>
      <c r="B304" s="4"/>
      <c r="C304" s="4"/>
      <c r="D304" s="4"/>
      <c r="E304" s="4"/>
      <c r="F304" s="4"/>
      <c r="G304" s="4"/>
      <c r="H304" s="246"/>
    </row>
    <row r="305" spans="1:8" s="1" customFormat="1" x14ac:dyDescent="0.2">
      <c r="A305" s="62" t="s">
        <v>766</v>
      </c>
      <c r="B305" s="4"/>
      <c r="C305" s="4"/>
      <c r="D305" s="4"/>
      <c r="E305" s="4"/>
      <c r="F305" s="4"/>
      <c r="G305" s="4"/>
      <c r="H305" s="246"/>
    </row>
    <row r="306" spans="1:8" s="1" customFormat="1" x14ac:dyDescent="0.2">
      <c r="A306" s="62" t="s">
        <v>1815</v>
      </c>
      <c r="B306" s="4"/>
      <c r="C306" s="4"/>
      <c r="D306" s="4"/>
      <c r="E306" s="4"/>
      <c r="F306" s="4"/>
      <c r="G306" s="4"/>
      <c r="H306" s="246"/>
    </row>
    <row r="307" spans="1:8" s="1" customFormat="1" x14ac:dyDescent="0.2">
      <c r="A307" s="62" t="s">
        <v>1791</v>
      </c>
      <c r="B307" s="4"/>
      <c r="C307" s="4"/>
      <c r="D307" s="4"/>
      <c r="E307" s="4"/>
      <c r="F307" s="4"/>
      <c r="G307" s="4"/>
      <c r="H307" s="246"/>
    </row>
    <row r="308" spans="1:8" s="1" customFormat="1" x14ac:dyDescent="0.2">
      <c r="A308" s="62" t="s">
        <v>1789</v>
      </c>
      <c r="B308" s="4"/>
      <c r="C308" s="4"/>
      <c r="D308" s="4"/>
      <c r="E308" s="4"/>
      <c r="F308" s="4"/>
      <c r="G308" s="4"/>
      <c r="H308" s="246"/>
    </row>
    <row r="309" spans="1:8" s="1" customFormat="1" x14ac:dyDescent="0.2">
      <c r="A309" s="62" t="s">
        <v>1790</v>
      </c>
      <c r="B309" s="4"/>
      <c r="C309" s="4"/>
      <c r="D309" s="4"/>
      <c r="E309" s="4"/>
      <c r="F309" s="4"/>
      <c r="G309" s="4"/>
      <c r="H309" s="246"/>
    </row>
    <row r="310" spans="1:8" s="1" customFormat="1" x14ac:dyDescent="0.2">
      <c r="A310" s="165"/>
      <c r="B310" s="4"/>
      <c r="C310" s="4"/>
      <c r="D310" s="4"/>
      <c r="E310" s="4"/>
      <c r="F310" s="4"/>
      <c r="G310" s="4"/>
      <c r="H310" s="246"/>
    </row>
    <row r="311" spans="1:8" s="1" customFormat="1" x14ac:dyDescent="0.2">
      <c r="A311" s="165" t="s">
        <v>78</v>
      </c>
      <c r="B311" s="4"/>
      <c r="C311" s="4"/>
      <c r="D311" s="4"/>
      <c r="E311" s="4"/>
      <c r="F311" s="4"/>
      <c r="G311" s="4"/>
      <c r="H311" s="246"/>
    </row>
    <row r="312" spans="1:8" s="1" customFormat="1" ht="17" thickBot="1" x14ac:dyDescent="0.25">
      <c r="A312" s="165"/>
      <c r="B312" s="4"/>
      <c r="C312" s="4"/>
      <c r="D312" s="4"/>
      <c r="E312" s="4"/>
      <c r="F312" s="4"/>
      <c r="G312" s="4"/>
      <c r="H312" s="246"/>
    </row>
    <row r="313" spans="1:8" s="1" customFormat="1" x14ac:dyDescent="0.2">
      <c r="A313" s="69" t="s">
        <v>1815</v>
      </c>
      <c r="B313" s="113"/>
      <c r="C313" s="113"/>
      <c r="D313" s="113"/>
      <c r="E313" s="113"/>
      <c r="F313" s="113"/>
      <c r="G313" s="113"/>
      <c r="H313" s="250"/>
    </row>
    <row r="314" spans="1:8" s="1" customFormat="1" ht="17" thickBot="1" x14ac:dyDescent="0.25">
      <c r="A314" s="65" t="s">
        <v>1791</v>
      </c>
      <c r="B314" s="115"/>
      <c r="C314" s="115"/>
      <c r="D314" s="115"/>
      <c r="E314" s="115"/>
      <c r="F314" s="115"/>
      <c r="G314" s="115"/>
      <c r="H314" s="252"/>
    </row>
    <row r="315" spans="1:8" s="1" customFormat="1" x14ac:dyDescent="0.2">
      <c r="A315" s="165"/>
      <c r="B315" s="4"/>
      <c r="C315" s="4"/>
      <c r="D315" s="4"/>
      <c r="E315" s="4"/>
      <c r="F315" s="4"/>
      <c r="G315" s="4"/>
      <c r="H315" s="246"/>
    </row>
    <row r="316" spans="1:8" s="1" customFormat="1" x14ac:dyDescent="0.2">
      <c r="A316" s="62" t="s">
        <v>1913</v>
      </c>
      <c r="B316" s="4"/>
      <c r="C316" s="4"/>
      <c r="D316" s="4"/>
      <c r="E316" s="4"/>
      <c r="F316" s="4"/>
      <c r="G316" s="4"/>
      <c r="H316" s="246"/>
    </row>
    <row r="317" spans="1:8" s="1" customFormat="1" x14ac:dyDescent="0.2">
      <c r="A317" s="62" t="s">
        <v>1914</v>
      </c>
      <c r="B317" s="4"/>
      <c r="C317" s="4"/>
      <c r="D317" s="4"/>
      <c r="E317" s="4"/>
      <c r="F317" s="4"/>
      <c r="G317" s="4"/>
      <c r="H317" s="246"/>
    </row>
    <row r="318" spans="1:8" s="1" customFormat="1" x14ac:dyDescent="0.2">
      <c r="A318" s="62" t="s">
        <v>1915</v>
      </c>
      <c r="B318" s="4"/>
      <c r="C318" s="4"/>
      <c r="D318" s="4"/>
      <c r="E318" s="4"/>
      <c r="F318" s="4"/>
      <c r="G318" s="4"/>
      <c r="H318" s="246"/>
    </row>
    <row r="319" spans="1:8" s="1" customFormat="1" x14ac:dyDescent="0.2">
      <c r="A319" s="62"/>
      <c r="B319" s="4"/>
      <c r="C319" s="4"/>
      <c r="D319" s="4"/>
      <c r="E319" s="4"/>
      <c r="F319" s="4"/>
      <c r="G319" s="4"/>
      <c r="H319" s="246"/>
    </row>
    <row r="320" spans="1:8" s="1" customFormat="1" x14ac:dyDescent="0.2">
      <c r="A320" s="62" t="s">
        <v>1916</v>
      </c>
      <c r="B320" s="4"/>
      <c r="C320" s="4"/>
      <c r="D320" s="4"/>
      <c r="E320" s="4"/>
      <c r="F320" s="4"/>
      <c r="G320" s="4"/>
      <c r="H320" s="246"/>
    </row>
    <row r="321" spans="1:8" s="1" customFormat="1" x14ac:dyDescent="0.2">
      <c r="A321" s="62" t="s">
        <v>1917</v>
      </c>
      <c r="B321" s="4"/>
      <c r="C321" s="4"/>
      <c r="D321" s="4"/>
      <c r="E321" s="4"/>
      <c r="F321" s="4"/>
      <c r="G321" s="4"/>
      <c r="H321" s="246"/>
    </row>
    <row r="322" spans="1:8" s="1" customFormat="1" x14ac:dyDescent="0.2">
      <c r="A322" s="62"/>
      <c r="B322" s="4"/>
      <c r="C322" s="4"/>
      <c r="D322" s="4"/>
      <c r="E322" s="4"/>
      <c r="F322" s="4"/>
      <c r="G322" s="4"/>
      <c r="H322" s="246"/>
    </row>
    <row r="323" spans="1:8" s="1" customFormat="1" x14ac:dyDescent="0.2">
      <c r="A323" s="62" t="s">
        <v>1918</v>
      </c>
      <c r="B323" s="4"/>
      <c r="C323" s="4"/>
      <c r="D323" s="4"/>
      <c r="E323" s="4"/>
      <c r="F323" s="4"/>
      <c r="G323" s="4"/>
      <c r="H323" s="246"/>
    </row>
    <row r="324" spans="1:8" s="1" customFormat="1" x14ac:dyDescent="0.2">
      <c r="A324" s="62" t="s">
        <v>1919</v>
      </c>
      <c r="B324" s="4"/>
      <c r="C324" s="4"/>
      <c r="D324" s="4"/>
      <c r="E324" s="4"/>
      <c r="F324" s="4"/>
      <c r="G324" s="4"/>
      <c r="H324" s="246"/>
    </row>
    <row r="325" spans="1:8" s="1" customFormat="1" x14ac:dyDescent="0.2">
      <c r="A325" s="62" t="s">
        <v>1920</v>
      </c>
      <c r="B325" s="4"/>
      <c r="C325" s="4"/>
      <c r="D325" s="4"/>
      <c r="E325" s="4"/>
      <c r="F325" s="4"/>
      <c r="G325" s="4"/>
      <c r="H325" s="246"/>
    </row>
    <row r="326" spans="1:8" s="1" customFormat="1" ht="17" thickBot="1" x14ac:dyDescent="0.25">
      <c r="A326" s="165"/>
      <c r="B326" s="4"/>
      <c r="C326" s="4"/>
      <c r="D326" s="4"/>
      <c r="E326" s="4"/>
      <c r="F326" s="4"/>
      <c r="G326" s="4"/>
      <c r="H326" s="246"/>
    </row>
    <row r="327" spans="1:8" s="1" customFormat="1" ht="17" thickBot="1" x14ac:dyDescent="0.25">
      <c r="A327" s="264" t="s">
        <v>1789</v>
      </c>
      <c r="B327" s="8"/>
      <c r="C327" s="8"/>
      <c r="D327" s="8"/>
      <c r="E327" s="8"/>
      <c r="F327" s="8"/>
      <c r="G327" s="8"/>
      <c r="H327" s="249"/>
    </row>
    <row r="328" spans="1:8" s="1" customFormat="1" x14ac:dyDescent="0.2">
      <c r="A328" s="62"/>
      <c r="B328" s="4"/>
      <c r="C328" s="4"/>
      <c r="D328" s="4"/>
      <c r="E328" s="4"/>
      <c r="F328" s="4"/>
      <c r="G328" s="4"/>
      <c r="H328" s="246"/>
    </row>
    <row r="329" spans="1:8" s="1" customFormat="1" x14ac:dyDescent="0.2">
      <c r="A329" s="161"/>
      <c r="B329" s="21" t="s">
        <v>280</v>
      </c>
      <c r="C329" s="21" t="s">
        <v>280</v>
      </c>
      <c r="D329" s="21" t="s">
        <v>280</v>
      </c>
      <c r="E329" s="4"/>
      <c r="F329" s="4"/>
      <c r="G329" s="4"/>
      <c r="H329" s="246"/>
    </row>
    <row r="330" spans="1:8" s="1" customFormat="1" x14ac:dyDescent="0.2">
      <c r="A330" s="161" t="s">
        <v>71</v>
      </c>
      <c r="B330" s="21" t="s">
        <v>1921</v>
      </c>
      <c r="C330" s="21" t="s">
        <v>1922</v>
      </c>
      <c r="D330" s="21" t="s">
        <v>1341</v>
      </c>
      <c r="E330" s="4"/>
      <c r="F330" s="4"/>
      <c r="G330" s="4"/>
      <c r="H330" s="246"/>
    </row>
    <row r="331" spans="1:8" s="1" customFormat="1" x14ac:dyDescent="0.2">
      <c r="A331" s="161">
        <v>0</v>
      </c>
      <c r="B331" s="21">
        <f>IF(A331&gt;60,A331-60-8,-8)</f>
        <v>-8</v>
      </c>
      <c r="C331" s="21">
        <f>IF(A331&lt;40,40-A331-10,-10)</f>
        <v>30</v>
      </c>
      <c r="D331" s="21">
        <f>B331+C331</f>
        <v>22</v>
      </c>
      <c r="E331" s="4"/>
      <c r="F331" s="4"/>
      <c r="G331" s="4"/>
      <c r="H331" s="246"/>
    </row>
    <row r="332" spans="1:8" s="1" customFormat="1" x14ac:dyDescent="0.2">
      <c r="A332" s="161">
        <f>A331+10</f>
        <v>10</v>
      </c>
      <c r="B332" s="21">
        <f t="shared" ref="B332:B342" si="6">IF(A332&gt;60,A332-60-8,-8)</f>
        <v>-8</v>
      </c>
      <c r="C332" s="21">
        <f t="shared" ref="C332:C342" si="7">IF(A332&lt;40,40-A332-10,-10)</f>
        <v>20</v>
      </c>
      <c r="D332" s="21">
        <f t="shared" ref="D332:D342" si="8">B332+C332</f>
        <v>12</v>
      </c>
      <c r="E332" s="4"/>
      <c r="F332" s="4"/>
      <c r="G332" s="4"/>
      <c r="H332" s="246"/>
    </row>
    <row r="333" spans="1:8" s="1" customFormat="1" x14ac:dyDescent="0.2">
      <c r="A333" s="161">
        <f t="shared" ref="A333:A342" si="9">A332+10</f>
        <v>20</v>
      </c>
      <c r="B333" s="21">
        <f t="shared" si="6"/>
        <v>-8</v>
      </c>
      <c r="C333" s="21">
        <f t="shared" si="7"/>
        <v>10</v>
      </c>
      <c r="D333" s="21">
        <f t="shared" si="8"/>
        <v>2</v>
      </c>
      <c r="E333" s="4"/>
      <c r="F333" s="4"/>
      <c r="G333" s="4"/>
      <c r="H333" s="246"/>
    </row>
    <row r="334" spans="1:8" s="1" customFormat="1" x14ac:dyDescent="0.2">
      <c r="A334" s="161">
        <f t="shared" si="9"/>
        <v>30</v>
      </c>
      <c r="B334" s="21">
        <f t="shared" si="6"/>
        <v>-8</v>
      </c>
      <c r="C334" s="21">
        <f t="shared" si="7"/>
        <v>0</v>
      </c>
      <c r="D334" s="21">
        <f t="shared" si="8"/>
        <v>-8</v>
      </c>
      <c r="E334" s="4"/>
      <c r="F334" s="4"/>
      <c r="G334" s="4"/>
      <c r="H334" s="246"/>
    </row>
    <row r="335" spans="1:8" s="1" customFormat="1" x14ac:dyDescent="0.2">
      <c r="A335" s="161">
        <f t="shared" si="9"/>
        <v>40</v>
      </c>
      <c r="B335" s="21">
        <f t="shared" si="6"/>
        <v>-8</v>
      </c>
      <c r="C335" s="21">
        <f t="shared" si="7"/>
        <v>-10</v>
      </c>
      <c r="D335" s="21">
        <f t="shared" si="8"/>
        <v>-18</v>
      </c>
      <c r="E335" s="4"/>
      <c r="F335" s="4"/>
      <c r="G335" s="4"/>
      <c r="H335" s="246"/>
    </row>
    <row r="336" spans="1:8" s="1" customFormat="1" x14ac:dyDescent="0.2">
      <c r="A336" s="161">
        <f t="shared" si="9"/>
        <v>50</v>
      </c>
      <c r="B336" s="21">
        <f t="shared" si="6"/>
        <v>-8</v>
      </c>
      <c r="C336" s="21">
        <f t="shared" si="7"/>
        <v>-10</v>
      </c>
      <c r="D336" s="21">
        <f t="shared" si="8"/>
        <v>-18</v>
      </c>
      <c r="E336" s="4"/>
      <c r="F336" s="4"/>
      <c r="G336" s="4"/>
      <c r="H336" s="246"/>
    </row>
    <row r="337" spans="1:8" s="1" customFormat="1" x14ac:dyDescent="0.2">
      <c r="A337" s="161">
        <f t="shared" si="9"/>
        <v>60</v>
      </c>
      <c r="B337" s="21">
        <f t="shared" si="6"/>
        <v>-8</v>
      </c>
      <c r="C337" s="21">
        <f t="shared" si="7"/>
        <v>-10</v>
      </c>
      <c r="D337" s="21">
        <f t="shared" si="8"/>
        <v>-18</v>
      </c>
      <c r="E337" s="4"/>
      <c r="F337" s="4"/>
      <c r="G337" s="4"/>
      <c r="H337" s="246"/>
    </row>
    <row r="338" spans="1:8" s="1" customFormat="1" x14ac:dyDescent="0.2">
      <c r="A338" s="161">
        <f t="shared" si="9"/>
        <v>70</v>
      </c>
      <c r="B338" s="21">
        <f t="shared" si="6"/>
        <v>2</v>
      </c>
      <c r="C338" s="21">
        <f t="shared" si="7"/>
        <v>-10</v>
      </c>
      <c r="D338" s="21">
        <f t="shared" si="8"/>
        <v>-8</v>
      </c>
      <c r="E338" s="4"/>
      <c r="F338" s="4"/>
      <c r="G338" s="4"/>
      <c r="H338" s="246"/>
    </row>
    <row r="339" spans="1:8" s="1" customFormat="1" x14ac:dyDescent="0.2">
      <c r="A339" s="161">
        <f t="shared" si="9"/>
        <v>80</v>
      </c>
      <c r="B339" s="21">
        <f t="shared" si="6"/>
        <v>12</v>
      </c>
      <c r="C339" s="21">
        <f t="shared" si="7"/>
        <v>-10</v>
      </c>
      <c r="D339" s="21">
        <f t="shared" si="8"/>
        <v>2</v>
      </c>
      <c r="E339" s="4"/>
      <c r="F339" s="4"/>
      <c r="G339" s="4"/>
      <c r="H339" s="246"/>
    </row>
    <row r="340" spans="1:8" s="1" customFormat="1" x14ac:dyDescent="0.2">
      <c r="A340" s="161">
        <f t="shared" si="9"/>
        <v>90</v>
      </c>
      <c r="B340" s="21">
        <f t="shared" si="6"/>
        <v>22</v>
      </c>
      <c r="C340" s="21">
        <f t="shared" si="7"/>
        <v>-10</v>
      </c>
      <c r="D340" s="21">
        <f t="shared" si="8"/>
        <v>12</v>
      </c>
      <c r="E340" s="4"/>
      <c r="F340" s="4"/>
      <c r="G340" s="4"/>
      <c r="H340" s="246"/>
    </row>
    <row r="341" spans="1:8" s="1" customFormat="1" x14ac:dyDescent="0.2">
      <c r="A341" s="161">
        <f t="shared" si="9"/>
        <v>100</v>
      </c>
      <c r="B341" s="21">
        <f t="shared" si="6"/>
        <v>32</v>
      </c>
      <c r="C341" s="21">
        <f t="shared" si="7"/>
        <v>-10</v>
      </c>
      <c r="D341" s="21">
        <f t="shared" si="8"/>
        <v>22</v>
      </c>
      <c r="E341" s="4"/>
      <c r="F341" s="4"/>
      <c r="G341" s="4"/>
      <c r="H341" s="246"/>
    </row>
    <row r="342" spans="1:8" s="1" customFormat="1" x14ac:dyDescent="0.2">
      <c r="A342" s="161">
        <f t="shared" si="9"/>
        <v>110</v>
      </c>
      <c r="B342" s="21">
        <f t="shared" si="6"/>
        <v>42</v>
      </c>
      <c r="C342" s="21">
        <f t="shared" si="7"/>
        <v>-10</v>
      </c>
      <c r="D342" s="21">
        <f t="shared" si="8"/>
        <v>32</v>
      </c>
      <c r="E342" s="4"/>
      <c r="F342" s="4"/>
      <c r="G342" s="4"/>
      <c r="H342" s="246"/>
    </row>
    <row r="343" spans="1:8" s="1" customFormat="1" ht="17" thickBot="1" x14ac:dyDescent="0.25">
      <c r="A343" s="165"/>
      <c r="B343" s="4"/>
      <c r="C343" s="4"/>
      <c r="D343" s="4"/>
      <c r="E343" s="4"/>
      <c r="F343" s="4"/>
      <c r="G343" s="4"/>
      <c r="H343" s="246"/>
    </row>
    <row r="344" spans="1:8" s="1" customFormat="1" ht="17" thickBot="1" x14ac:dyDescent="0.25">
      <c r="A344" s="264" t="s">
        <v>1790</v>
      </c>
      <c r="B344" s="8"/>
      <c r="C344" s="8"/>
      <c r="D344" s="8"/>
      <c r="E344" s="8"/>
      <c r="F344" s="8"/>
      <c r="G344" s="8"/>
      <c r="H344" s="249"/>
    </row>
    <row r="345" spans="1:8" s="1" customFormat="1" x14ac:dyDescent="0.2">
      <c r="A345" s="165"/>
      <c r="B345" s="4"/>
      <c r="C345" s="4"/>
      <c r="D345" s="4"/>
      <c r="E345" s="4"/>
      <c r="F345" s="4"/>
      <c r="G345" s="4"/>
      <c r="H345" s="246"/>
    </row>
    <row r="346" spans="1:8" s="1" customFormat="1" x14ac:dyDescent="0.2">
      <c r="A346" s="165"/>
      <c r="B346" s="4"/>
      <c r="C346" s="4"/>
      <c r="D346" s="4"/>
      <c r="E346" s="4"/>
      <c r="F346" s="4"/>
      <c r="G346" s="4"/>
      <c r="H346" s="246"/>
    </row>
    <row r="347" spans="1:8" s="1" customFormat="1" x14ac:dyDescent="0.2">
      <c r="A347" s="62" t="s">
        <v>1923</v>
      </c>
      <c r="B347" s="1" t="s">
        <v>1924</v>
      </c>
      <c r="C347" s="4"/>
      <c r="D347" s="4"/>
      <c r="E347" s="4"/>
      <c r="F347" s="4" t="s">
        <v>280</v>
      </c>
      <c r="G347" s="4"/>
      <c r="H347" s="246"/>
    </row>
    <row r="348" spans="1:8" s="1" customFormat="1" x14ac:dyDescent="0.2">
      <c r="A348" s="62" t="s">
        <v>1925</v>
      </c>
      <c r="B348" s="1" t="s">
        <v>1926</v>
      </c>
      <c r="C348" s="4"/>
      <c r="D348" s="4"/>
      <c r="E348" s="4"/>
      <c r="F348" s="4"/>
      <c r="G348" s="4"/>
      <c r="H348" s="246"/>
    </row>
    <row r="349" spans="1:8" s="1" customFormat="1" x14ac:dyDescent="0.2">
      <c r="A349" s="62" t="s">
        <v>825</v>
      </c>
      <c r="B349" s="1" t="s">
        <v>1927</v>
      </c>
      <c r="C349" s="4"/>
      <c r="D349" s="4"/>
      <c r="E349" s="4"/>
      <c r="F349" s="4"/>
      <c r="G349" s="4"/>
      <c r="H349" s="246"/>
    </row>
    <row r="350" spans="1:8" s="1" customFormat="1" x14ac:dyDescent="0.2">
      <c r="A350" s="165"/>
      <c r="B350" s="4"/>
      <c r="C350" s="4"/>
      <c r="D350" s="4"/>
      <c r="E350" s="4"/>
      <c r="F350" s="4"/>
      <c r="G350" s="4"/>
      <c r="H350" s="246"/>
    </row>
    <row r="351" spans="1:8" s="1" customFormat="1" x14ac:dyDescent="0.2">
      <c r="A351" s="165"/>
      <c r="B351" s="4"/>
      <c r="C351" s="4"/>
      <c r="D351" s="4"/>
      <c r="E351" s="4"/>
      <c r="F351" s="4"/>
      <c r="G351" s="4"/>
      <c r="H351" s="246"/>
    </row>
    <row r="352" spans="1:8" s="1" customFormat="1" x14ac:dyDescent="0.2">
      <c r="A352" s="165"/>
      <c r="B352" s="4"/>
      <c r="C352" s="4"/>
      <c r="D352" s="4"/>
      <c r="E352" s="4"/>
      <c r="F352" s="4"/>
      <c r="G352" s="4"/>
      <c r="H352" s="246"/>
    </row>
    <row r="353" spans="1:8" s="1" customFormat="1" x14ac:dyDescent="0.2">
      <c r="A353" s="165"/>
      <c r="B353" s="4"/>
      <c r="C353" s="4"/>
      <c r="D353" s="4"/>
      <c r="E353" s="4"/>
      <c r="F353" s="4"/>
      <c r="G353" s="4"/>
      <c r="H353" s="246"/>
    </row>
    <row r="354" spans="1:8" s="1" customFormat="1" x14ac:dyDescent="0.2">
      <c r="A354" s="165"/>
      <c r="B354" s="4"/>
      <c r="C354" s="4"/>
      <c r="D354" s="4"/>
      <c r="E354" s="4"/>
      <c r="F354" s="4"/>
      <c r="G354" s="4"/>
      <c r="H354" s="246"/>
    </row>
    <row r="355" spans="1:8" s="1" customFormat="1" x14ac:dyDescent="0.2">
      <c r="A355" s="165"/>
      <c r="B355" s="4"/>
      <c r="C355" s="4"/>
      <c r="D355" s="4"/>
      <c r="E355" s="4"/>
      <c r="F355" s="4"/>
      <c r="G355" s="4"/>
      <c r="H355" s="246"/>
    </row>
    <row r="356" spans="1:8" s="1" customFormat="1" x14ac:dyDescent="0.2">
      <c r="A356" s="165"/>
      <c r="B356" s="128" t="s">
        <v>71</v>
      </c>
      <c r="C356" s="4"/>
      <c r="D356" s="4"/>
      <c r="E356" s="4"/>
      <c r="F356" s="4"/>
      <c r="G356" s="4"/>
      <c r="H356" s="246"/>
    </row>
    <row r="357" spans="1:8" s="1" customFormat="1" x14ac:dyDescent="0.2">
      <c r="A357" s="165"/>
      <c r="B357" s="4"/>
      <c r="C357" s="4"/>
      <c r="D357" s="4"/>
      <c r="E357" s="4"/>
      <c r="F357" s="4"/>
      <c r="G357" s="4"/>
      <c r="H357" s="246"/>
    </row>
    <row r="358" spans="1:8" s="1" customFormat="1" x14ac:dyDescent="0.2">
      <c r="A358" s="165"/>
      <c r="B358" s="4"/>
      <c r="C358" s="4"/>
      <c r="D358" s="4"/>
      <c r="E358" s="4"/>
      <c r="F358" s="4"/>
      <c r="G358" s="4"/>
      <c r="H358" s="246"/>
    </row>
    <row r="359" spans="1:8" s="1" customFormat="1" x14ac:dyDescent="0.2">
      <c r="A359" s="165"/>
      <c r="B359" s="4"/>
      <c r="C359" s="4"/>
      <c r="D359" s="4"/>
      <c r="E359" s="4"/>
      <c r="F359" s="4"/>
      <c r="G359" s="4"/>
      <c r="H359" s="246"/>
    </row>
    <row r="360" spans="1:8" s="1" customFormat="1" x14ac:dyDescent="0.2">
      <c r="A360" s="165"/>
      <c r="B360" s="4"/>
      <c r="C360" s="4"/>
      <c r="D360" s="4"/>
      <c r="E360" s="4"/>
      <c r="F360" s="4"/>
      <c r="G360" s="4"/>
      <c r="H360" s="246"/>
    </row>
    <row r="361" spans="1:8" s="1" customFormat="1" x14ac:dyDescent="0.2">
      <c r="A361" s="165"/>
      <c r="B361" s="4"/>
      <c r="C361" s="4"/>
      <c r="D361" s="4"/>
      <c r="E361" s="4"/>
      <c r="F361" s="4"/>
      <c r="G361" s="4"/>
      <c r="H361" s="246"/>
    </row>
    <row r="362" spans="1:8" s="1" customFormat="1" x14ac:dyDescent="0.2">
      <c r="A362" s="165"/>
      <c r="B362" s="4"/>
      <c r="C362" s="4"/>
      <c r="D362" s="4"/>
      <c r="E362" s="4"/>
      <c r="F362" s="4"/>
      <c r="G362" s="4"/>
      <c r="H362" s="246"/>
    </row>
    <row r="363" spans="1:8" s="1" customFormat="1" x14ac:dyDescent="0.2">
      <c r="A363" s="165"/>
      <c r="B363" s="4"/>
      <c r="C363" s="4"/>
      <c r="D363" s="4"/>
      <c r="E363" s="4"/>
      <c r="F363" s="4"/>
      <c r="G363" s="4"/>
      <c r="H363" s="246"/>
    </row>
    <row r="364" spans="1:8" s="1" customFormat="1" x14ac:dyDescent="0.2">
      <c r="A364" s="165"/>
      <c r="B364" s="4"/>
      <c r="C364" s="4"/>
      <c r="D364" s="4"/>
      <c r="E364" s="4"/>
      <c r="F364" s="4"/>
      <c r="G364" s="4"/>
      <c r="H364" s="246"/>
    </row>
    <row r="365" spans="1:8" s="1" customFormat="1" x14ac:dyDescent="0.2">
      <c r="A365" s="165"/>
      <c r="B365" s="4"/>
      <c r="C365" s="4"/>
      <c r="D365" s="4"/>
      <c r="E365" s="4"/>
      <c r="F365" s="4"/>
      <c r="G365" s="4"/>
      <c r="H365" s="246"/>
    </row>
    <row r="366" spans="1:8" s="1" customFormat="1" x14ac:dyDescent="0.2">
      <c r="A366" s="117" t="s">
        <v>1792</v>
      </c>
      <c r="B366" s="117"/>
      <c r="C366" s="117" t="s">
        <v>1814</v>
      </c>
      <c r="D366" s="117"/>
      <c r="E366" s="117"/>
      <c r="F366" s="117"/>
      <c r="G366" s="117"/>
      <c r="H366" s="117"/>
    </row>
    <row r="367" spans="1:8" s="1" customFormat="1" x14ac:dyDescent="0.2">
      <c r="A367" s="62" t="s">
        <v>1793</v>
      </c>
      <c r="B367" s="4"/>
      <c r="C367" s="4"/>
      <c r="D367" s="4"/>
      <c r="E367" s="4"/>
      <c r="F367" s="4"/>
      <c r="G367" s="4"/>
      <c r="H367" s="246"/>
    </row>
    <row r="368" spans="1:8" s="1" customFormat="1" x14ac:dyDescent="0.2">
      <c r="A368" s="62" t="s">
        <v>1794</v>
      </c>
      <c r="B368" s="4"/>
      <c r="C368" s="4"/>
      <c r="D368" s="4"/>
      <c r="E368" s="4"/>
      <c r="F368" s="4"/>
      <c r="G368" s="4"/>
      <c r="H368" s="246"/>
    </row>
    <row r="369" spans="1:8" s="1" customFormat="1" x14ac:dyDescent="0.2">
      <c r="A369" s="62" t="s">
        <v>1795</v>
      </c>
      <c r="B369" s="4"/>
      <c r="C369" s="4"/>
      <c r="D369" s="4"/>
      <c r="E369" s="4"/>
      <c r="F369" s="4"/>
      <c r="G369" s="4"/>
      <c r="H369" s="246"/>
    </row>
    <row r="370" spans="1:8" s="1" customFormat="1" x14ac:dyDescent="0.2">
      <c r="A370" s="62" t="s">
        <v>1796</v>
      </c>
      <c r="B370" s="4"/>
      <c r="C370" s="4"/>
      <c r="D370" s="4"/>
      <c r="E370" s="4"/>
      <c r="F370" s="4"/>
      <c r="G370" s="4"/>
      <c r="H370" s="246"/>
    </row>
    <row r="371" spans="1:8" s="1" customFormat="1" x14ac:dyDescent="0.2">
      <c r="A371" s="62" t="s">
        <v>1797</v>
      </c>
      <c r="B371" s="4"/>
      <c r="C371" s="4"/>
      <c r="D371" s="4"/>
      <c r="E371" s="4"/>
      <c r="F371" s="4"/>
      <c r="G371" s="4"/>
      <c r="H371" s="246"/>
    </row>
    <row r="372" spans="1:8" s="1" customFormat="1" x14ac:dyDescent="0.2">
      <c r="A372" s="62" t="s">
        <v>1798</v>
      </c>
      <c r="B372" s="4"/>
      <c r="C372" s="4"/>
      <c r="D372" s="4"/>
      <c r="E372" s="4"/>
      <c r="F372" s="4"/>
      <c r="G372" s="4"/>
      <c r="H372" s="246"/>
    </row>
    <row r="373" spans="1:8" s="1" customFormat="1" x14ac:dyDescent="0.2">
      <c r="A373" s="62" t="s">
        <v>1799</v>
      </c>
      <c r="B373" s="4"/>
      <c r="C373" s="4"/>
      <c r="D373" s="4"/>
      <c r="E373" s="4"/>
      <c r="F373" s="4"/>
      <c r="G373" s="4"/>
      <c r="H373" s="246"/>
    </row>
    <row r="374" spans="1:8" s="1" customFormat="1" x14ac:dyDescent="0.2">
      <c r="A374" s="62" t="s">
        <v>1800</v>
      </c>
      <c r="B374" s="4"/>
      <c r="C374" s="4"/>
      <c r="D374" s="4"/>
      <c r="E374" s="4"/>
      <c r="F374" s="4"/>
      <c r="G374" s="4"/>
      <c r="H374" s="246"/>
    </row>
    <row r="375" spans="1:8" s="1" customFormat="1" x14ac:dyDescent="0.2">
      <c r="A375" s="165"/>
      <c r="B375" s="4"/>
      <c r="C375" s="4"/>
      <c r="D375" s="4"/>
      <c r="E375" s="4"/>
      <c r="F375" s="21"/>
      <c r="G375" s="21"/>
      <c r="H375" s="246"/>
    </row>
    <row r="376" spans="1:8" s="1" customFormat="1" x14ac:dyDescent="0.2">
      <c r="A376" s="165" t="s">
        <v>78</v>
      </c>
      <c r="B376" s="4"/>
      <c r="C376" s="4"/>
      <c r="D376" s="4"/>
      <c r="E376" s="4"/>
      <c r="F376" s="4"/>
      <c r="G376" s="4"/>
      <c r="H376" s="246"/>
    </row>
    <row r="377" spans="1:8" s="1" customFormat="1" ht="17" thickBot="1" x14ac:dyDescent="0.25">
      <c r="A377" s="165"/>
      <c r="B377" s="4"/>
      <c r="C377" s="4"/>
      <c r="D377" s="4"/>
      <c r="E377" s="4"/>
      <c r="F377" s="21"/>
      <c r="G377" s="226"/>
      <c r="H377" s="246"/>
    </row>
    <row r="378" spans="1:8" s="1" customFormat="1" x14ac:dyDescent="0.2">
      <c r="A378" s="69" t="s">
        <v>1795</v>
      </c>
      <c r="B378" s="113"/>
      <c r="C378" s="113"/>
      <c r="D378" s="113"/>
      <c r="E378" s="113"/>
      <c r="F378" s="269"/>
      <c r="G378" s="269"/>
      <c r="H378" s="250"/>
    </row>
    <row r="379" spans="1:8" s="1" customFormat="1" ht="17" thickBot="1" x14ac:dyDescent="0.25">
      <c r="A379" s="65" t="s">
        <v>1796</v>
      </c>
      <c r="B379" s="115"/>
      <c r="C379" s="115"/>
      <c r="D379" s="115"/>
      <c r="E379" s="115"/>
      <c r="F379" s="270"/>
      <c r="G379" s="135"/>
      <c r="H379" s="252"/>
    </row>
    <row r="380" spans="1:8" s="1" customFormat="1" x14ac:dyDescent="0.2">
      <c r="A380" s="62"/>
      <c r="B380" s="4"/>
      <c r="C380" s="4"/>
      <c r="D380" s="4"/>
      <c r="E380" s="4"/>
      <c r="F380" s="21"/>
      <c r="G380" s="31"/>
      <c r="H380" s="246"/>
    </row>
    <row r="381" spans="1:8" s="1" customFormat="1" x14ac:dyDescent="0.2">
      <c r="A381" s="62" t="s">
        <v>1928</v>
      </c>
      <c r="B381" s="4"/>
      <c r="C381" s="4"/>
      <c r="D381" s="4"/>
      <c r="E381" s="4"/>
      <c r="F381" s="4"/>
      <c r="G381" s="4"/>
      <c r="H381" s="246"/>
    </row>
    <row r="382" spans="1:8" s="1" customFormat="1" x14ac:dyDescent="0.2">
      <c r="A382" s="62" t="s">
        <v>1929</v>
      </c>
      <c r="B382" s="4"/>
      <c r="C382" s="4"/>
      <c r="D382" s="4"/>
      <c r="E382" s="4"/>
      <c r="F382" s="4"/>
      <c r="G382" s="4"/>
      <c r="H382" s="246"/>
    </row>
    <row r="383" spans="1:8" s="1" customFormat="1" x14ac:dyDescent="0.2">
      <c r="A383" s="62" t="s">
        <v>1930</v>
      </c>
      <c r="B383" s="4"/>
      <c r="C383" s="4"/>
      <c r="D383" s="4"/>
      <c r="E383" s="4"/>
      <c r="F383" s="4"/>
      <c r="G383" s="4"/>
      <c r="H383" s="246"/>
    </row>
    <row r="384" spans="1:8" s="1" customFormat="1" x14ac:dyDescent="0.2">
      <c r="A384" s="62" t="s">
        <v>1931</v>
      </c>
      <c r="B384" s="4"/>
      <c r="C384" s="4"/>
      <c r="D384" s="4"/>
      <c r="E384" s="4"/>
      <c r="F384" s="4"/>
      <c r="G384" s="4"/>
      <c r="H384" s="246"/>
    </row>
    <row r="385" spans="1:8" x14ac:dyDescent="0.2">
      <c r="A385" s="1"/>
    </row>
    <row r="386" spans="1:8" x14ac:dyDescent="0.2">
      <c r="A386" s="62" t="s">
        <v>1932</v>
      </c>
    </row>
    <row r="387" spans="1:8" x14ac:dyDescent="0.2">
      <c r="A387" s="1"/>
      <c r="C387" s="21" t="s">
        <v>1933</v>
      </c>
      <c r="D387" s="21" t="s">
        <v>406</v>
      </c>
      <c r="E387" s="21" t="s">
        <v>1936</v>
      </c>
    </row>
    <row r="388" spans="1:8" x14ac:dyDescent="0.2">
      <c r="A388" s="1"/>
      <c r="C388" s="21" t="s">
        <v>1934</v>
      </c>
      <c r="D388" s="21" t="s">
        <v>390</v>
      </c>
      <c r="E388" s="21" t="s">
        <v>1936</v>
      </c>
    </row>
    <row r="389" spans="1:8" x14ac:dyDescent="0.2">
      <c r="A389" s="1"/>
      <c r="C389" s="21" t="s">
        <v>1935</v>
      </c>
      <c r="D389" s="21" t="s">
        <v>407</v>
      </c>
      <c r="E389" s="21" t="s">
        <v>1937</v>
      </c>
    </row>
    <row r="390" spans="1:8" x14ac:dyDescent="0.2">
      <c r="A390" s="1"/>
    </row>
    <row r="391" spans="1:8" x14ac:dyDescent="0.2">
      <c r="A391" s="1" t="s">
        <v>1938</v>
      </c>
    </row>
    <row r="392" spans="1:8" x14ac:dyDescent="0.2">
      <c r="A392" s="1" t="s">
        <v>1939</v>
      </c>
    </row>
    <row r="393" spans="1:8" x14ac:dyDescent="0.2">
      <c r="A393" s="1" t="s">
        <v>1940</v>
      </c>
    </row>
    <row r="394" spans="1:8" ht="17" thickBot="1" x14ac:dyDescent="0.25"/>
    <row r="395" spans="1:8" ht="17" thickBot="1" x14ac:dyDescent="0.25">
      <c r="A395" s="264" t="s">
        <v>1797</v>
      </c>
      <c r="B395" s="271"/>
      <c r="C395" s="271"/>
      <c r="D395" s="271"/>
      <c r="E395" s="271"/>
      <c r="F395" s="271"/>
      <c r="G395" s="271"/>
      <c r="H395" s="272"/>
    </row>
    <row r="397" spans="1:8" x14ac:dyDescent="0.2">
      <c r="A397" s="1" t="s">
        <v>1941</v>
      </c>
    </row>
    <row r="398" spans="1:8" x14ac:dyDescent="0.2">
      <c r="A398" s="1" t="s">
        <v>1942</v>
      </c>
    </row>
    <row r="399" spans="1:8" x14ac:dyDescent="0.2">
      <c r="A399" s="1" t="s">
        <v>1943</v>
      </c>
    </row>
    <row r="400" spans="1:8" x14ac:dyDescent="0.2">
      <c r="A400" s="1" t="s">
        <v>1944</v>
      </c>
    </row>
    <row r="401" spans="1:5" x14ac:dyDescent="0.2">
      <c r="A401" s="1" t="s">
        <v>1945</v>
      </c>
    </row>
    <row r="402" spans="1:5" x14ac:dyDescent="0.2">
      <c r="A402" s="1"/>
    </row>
    <row r="403" spans="1:5" x14ac:dyDescent="0.2">
      <c r="A403" s="1" t="s">
        <v>1963</v>
      </c>
    </row>
    <row r="404" spans="1:5" x14ac:dyDescent="0.2">
      <c r="A404" s="1" t="s">
        <v>1964</v>
      </c>
    </row>
    <row r="405" spans="1:5" x14ac:dyDescent="0.2">
      <c r="A405" s="1"/>
    </row>
    <row r="406" spans="1:5" x14ac:dyDescent="0.2">
      <c r="A406" s="1" t="s">
        <v>1965</v>
      </c>
    </row>
    <row r="407" spans="1:5" x14ac:dyDescent="0.2">
      <c r="A407" s="1" t="s">
        <v>1966</v>
      </c>
    </row>
    <row r="408" spans="1:5" x14ac:dyDescent="0.2">
      <c r="A408" s="1"/>
    </row>
    <row r="409" spans="1:5" x14ac:dyDescent="0.2">
      <c r="A409" s="21"/>
      <c r="B409" s="21"/>
      <c r="C409" s="21"/>
      <c r="D409" s="75" t="s">
        <v>538</v>
      </c>
    </row>
    <row r="410" spans="1:5" x14ac:dyDescent="0.2">
      <c r="A410" s="21" t="s">
        <v>1933</v>
      </c>
      <c r="B410" s="21" t="s">
        <v>406</v>
      </c>
      <c r="C410" s="21" t="s">
        <v>1936</v>
      </c>
      <c r="D410" s="21">
        <v>-11</v>
      </c>
      <c r="E410" s="48" t="s">
        <v>1967</v>
      </c>
    </row>
    <row r="411" spans="1:5" x14ac:dyDescent="0.2">
      <c r="A411" s="21" t="s">
        <v>1934</v>
      </c>
      <c r="B411" s="21" t="s">
        <v>390</v>
      </c>
      <c r="C411" s="21" t="s">
        <v>1936</v>
      </c>
      <c r="D411" s="21">
        <v>-1</v>
      </c>
      <c r="E411" s="48" t="s">
        <v>1968</v>
      </c>
    </row>
    <row r="412" spans="1:5" x14ac:dyDescent="0.2">
      <c r="A412" s="21" t="s">
        <v>1935</v>
      </c>
      <c r="B412" s="21" t="s">
        <v>407</v>
      </c>
      <c r="C412" s="21" t="s">
        <v>1937</v>
      </c>
      <c r="D412" s="21">
        <f>4*2</f>
        <v>8</v>
      </c>
      <c r="E412" s="48" t="s">
        <v>1969</v>
      </c>
    </row>
    <row r="413" spans="1:5" x14ac:dyDescent="0.2">
      <c r="A413" s="48" t="s">
        <v>1946</v>
      </c>
      <c r="B413" s="21"/>
      <c r="C413" s="21"/>
      <c r="D413" s="235">
        <f>SUM(D410:D412)</f>
        <v>-4</v>
      </c>
    </row>
    <row r="414" spans="1:5" x14ac:dyDescent="0.2">
      <c r="A414" s="48"/>
      <c r="B414" s="21"/>
      <c r="C414" s="21"/>
      <c r="D414" s="21"/>
    </row>
    <row r="415" spans="1:5" x14ac:dyDescent="0.2">
      <c r="A415" s="48" t="s">
        <v>1947</v>
      </c>
      <c r="B415" s="21"/>
      <c r="C415" s="21"/>
      <c r="D415" s="21"/>
    </row>
    <row r="416" spans="1:5" x14ac:dyDescent="0.2">
      <c r="A416" s="48" t="s">
        <v>1948</v>
      </c>
      <c r="B416" s="21"/>
      <c r="C416" s="21"/>
      <c r="D416" s="21"/>
    </row>
    <row r="417" spans="1:7" x14ac:dyDescent="0.2">
      <c r="A417" s="48"/>
      <c r="B417" s="21"/>
      <c r="C417" s="21"/>
      <c r="D417" s="21"/>
    </row>
    <row r="418" spans="1:7" x14ac:dyDescent="0.2">
      <c r="A418" s="48" t="s">
        <v>1949</v>
      </c>
      <c r="B418" s="21"/>
      <c r="C418" s="21"/>
      <c r="D418" s="21"/>
    </row>
    <row r="419" spans="1:7" x14ac:dyDescent="0.2">
      <c r="A419" s="48" t="s">
        <v>1950</v>
      </c>
      <c r="B419" s="21"/>
      <c r="C419" s="21"/>
      <c r="D419" s="21"/>
    </row>
    <row r="420" spans="1:7" x14ac:dyDescent="0.2">
      <c r="A420" s="48"/>
      <c r="B420" s="21"/>
      <c r="C420" s="21"/>
      <c r="D420" s="21"/>
    </row>
    <row r="421" spans="1:7" x14ac:dyDescent="0.2">
      <c r="A421" s="48" t="s">
        <v>1970</v>
      </c>
      <c r="B421" s="21"/>
      <c r="C421" s="21"/>
      <c r="D421" s="21"/>
    </row>
    <row r="422" spans="1:7" x14ac:dyDescent="0.2">
      <c r="A422" s="48" t="s">
        <v>1971</v>
      </c>
      <c r="B422" s="21"/>
      <c r="C422" s="21"/>
      <c r="D422" s="21"/>
    </row>
    <row r="423" spans="1:7" x14ac:dyDescent="0.2">
      <c r="A423" s="48"/>
      <c r="B423" s="21"/>
      <c r="C423" s="21"/>
      <c r="D423" s="21"/>
    </row>
    <row r="424" spans="1:7" x14ac:dyDescent="0.2">
      <c r="A424" s="48" t="s">
        <v>1972</v>
      </c>
      <c r="B424" s="21"/>
      <c r="C424" s="21"/>
      <c r="D424" s="21"/>
    </row>
    <row r="425" spans="1:7" x14ac:dyDescent="0.2">
      <c r="A425" s="48"/>
      <c r="B425" s="21"/>
      <c r="C425" s="21"/>
      <c r="D425" s="21"/>
    </row>
    <row r="426" spans="1:7" x14ac:dyDescent="0.2">
      <c r="A426" s="48" t="s">
        <v>1973</v>
      </c>
      <c r="B426" s="1"/>
      <c r="C426" s="4"/>
      <c r="D426" s="4"/>
      <c r="E426" s="4"/>
      <c r="F426" s="4" t="s">
        <v>280</v>
      </c>
      <c r="G426" s="4"/>
    </row>
    <row r="427" spans="1:7" x14ac:dyDescent="0.2">
      <c r="B427" s="1"/>
      <c r="C427" s="4"/>
      <c r="D427" s="4"/>
      <c r="E427" s="4"/>
      <c r="F427" s="4"/>
      <c r="G427" s="4"/>
    </row>
    <row r="428" spans="1:7" x14ac:dyDescent="0.2">
      <c r="B428" s="1"/>
      <c r="C428" s="4"/>
      <c r="D428" s="4"/>
      <c r="E428" s="4"/>
      <c r="F428" s="4"/>
      <c r="G428" s="4"/>
    </row>
    <row r="429" spans="1:7" x14ac:dyDescent="0.2">
      <c r="B429" s="4"/>
      <c r="C429" s="4"/>
      <c r="D429" s="4"/>
      <c r="E429" s="4"/>
      <c r="F429" s="4"/>
      <c r="G429" s="4"/>
    </row>
    <row r="430" spans="1:7" x14ac:dyDescent="0.2">
      <c r="B430" s="4"/>
      <c r="C430" s="4"/>
      <c r="D430" s="4"/>
      <c r="E430" s="4"/>
      <c r="F430" s="4"/>
      <c r="G430" s="4"/>
    </row>
    <row r="431" spans="1:7" x14ac:dyDescent="0.2">
      <c r="B431" s="4"/>
      <c r="C431" s="4"/>
      <c r="D431" s="4"/>
      <c r="E431" s="4"/>
      <c r="F431" s="4"/>
      <c r="G431" s="4"/>
    </row>
    <row r="432" spans="1:7" x14ac:dyDescent="0.2">
      <c r="B432" s="4"/>
      <c r="C432" s="4"/>
      <c r="D432" s="4"/>
      <c r="E432" s="4"/>
      <c r="F432" s="4"/>
      <c r="G432" s="4"/>
    </row>
    <row r="433" spans="1:8" x14ac:dyDescent="0.2">
      <c r="B433" s="4"/>
      <c r="C433" s="4"/>
      <c r="D433" s="4"/>
      <c r="E433" s="4"/>
      <c r="F433" s="4"/>
      <c r="G433" s="4"/>
    </row>
    <row r="434" spans="1:8" x14ac:dyDescent="0.2">
      <c r="B434" s="4"/>
      <c r="C434" s="4"/>
      <c r="D434" s="4"/>
      <c r="E434" s="4"/>
      <c r="F434" s="4"/>
      <c r="G434" s="4"/>
    </row>
    <row r="435" spans="1:8" x14ac:dyDescent="0.2">
      <c r="B435" s="128" t="s">
        <v>71</v>
      </c>
      <c r="C435" s="4"/>
      <c r="D435" s="4"/>
      <c r="E435" s="4"/>
      <c r="F435" s="4"/>
      <c r="G435" s="4"/>
    </row>
    <row r="436" spans="1:8" x14ac:dyDescent="0.2">
      <c r="B436" s="4"/>
      <c r="C436" s="4"/>
      <c r="D436" s="4"/>
      <c r="E436" s="4"/>
      <c r="F436" s="4"/>
      <c r="G436" s="4"/>
    </row>
    <row r="437" spans="1:8" x14ac:dyDescent="0.2">
      <c r="B437" s="4"/>
      <c r="C437" s="4"/>
      <c r="D437" s="4"/>
      <c r="E437" s="4"/>
      <c r="F437" s="4"/>
      <c r="G437" s="4"/>
    </row>
    <row r="438" spans="1:8" x14ac:dyDescent="0.2">
      <c r="B438" s="4"/>
      <c r="C438" s="4"/>
      <c r="D438" s="4"/>
      <c r="E438" s="4"/>
      <c r="F438" s="4"/>
      <c r="G438" s="4"/>
    </row>
    <row r="439" spans="1:8" x14ac:dyDescent="0.2">
      <c r="B439" s="4"/>
      <c r="C439" s="4"/>
      <c r="E439" s="4"/>
      <c r="F439" s="4"/>
      <c r="G439" s="4"/>
    </row>
    <row r="440" spans="1:8" x14ac:dyDescent="0.2">
      <c r="B440" s="4"/>
      <c r="C440" s="4"/>
      <c r="D440" s="4"/>
      <c r="E440" s="4"/>
      <c r="F440" s="4"/>
      <c r="G440" s="4"/>
    </row>
    <row r="441" spans="1:8" x14ac:dyDescent="0.2">
      <c r="B441" s="4"/>
      <c r="C441" s="4"/>
      <c r="D441" s="4"/>
      <c r="E441" s="4"/>
      <c r="F441" s="4"/>
      <c r="G441" s="4"/>
    </row>
    <row r="442" spans="1:8" ht="17" thickBot="1" x14ac:dyDescent="0.25">
      <c r="B442" s="4"/>
      <c r="C442" s="4"/>
      <c r="D442" s="4"/>
      <c r="E442" s="4"/>
      <c r="F442" s="4"/>
      <c r="G442" s="4"/>
    </row>
    <row r="443" spans="1:8" x14ac:dyDescent="0.2">
      <c r="A443" s="69" t="s">
        <v>1798</v>
      </c>
      <c r="B443" s="113"/>
      <c r="C443" s="113"/>
      <c r="D443" s="113"/>
      <c r="E443" s="113"/>
      <c r="F443" s="113"/>
      <c r="G443" s="113"/>
      <c r="H443" s="250"/>
    </row>
    <row r="444" spans="1:8" x14ac:dyDescent="0.2">
      <c r="A444" s="64" t="s">
        <v>1799</v>
      </c>
      <c r="B444" s="4"/>
      <c r="C444" s="4"/>
      <c r="D444" s="4"/>
      <c r="E444" s="4"/>
      <c r="F444" s="4"/>
      <c r="G444" s="4"/>
      <c r="H444" s="251"/>
    </row>
    <row r="445" spans="1:8" ht="17" thickBot="1" x14ac:dyDescent="0.25">
      <c r="A445" s="65" t="s">
        <v>1800</v>
      </c>
      <c r="B445" s="115"/>
      <c r="C445" s="115"/>
      <c r="D445" s="115"/>
      <c r="E445" s="115"/>
      <c r="F445" s="115"/>
      <c r="G445" s="115"/>
      <c r="H445" s="252"/>
    </row>
    <row r="447" spans="1:8" x14ac:dyDescent="0.2">
      <c r="A447" s="62" t="s">
        <v>1951</v>
      </c>
    </row>
    <row r="448" spans="1:8" x14ac:dyDescent="0.2">
      <c r="A448" s="62" t="s">
        <v>1952</v>
      </c>
    </row>
    <row r="449" spans="1:6" x14ac:dyDescent="0.2">
      <c r="A449" s="62" t="s">
        <v>1953</v>
      </c>
    </row>
    <row r="450" spans="1:6" x14ac:dyDescent="0.2">
      <c r="A450" s="62" t="s">
        <v>1954</v>
      </c>
    </row>
    <row r="451" spans="1:6" x14ac:dyDescent="0.2">
      <c r="A451" s="62" t="s">
        <v>1955</v>
      </c>
    </row>
    <row r="452" spans="1:6" x14ac:dyDescent="0.2">
      <c r="A452" s="62" t="s">
        <v>1956</v>
      </c>
    </row>
    <row r="453" spans="1:6" x14ac:dyDescent="0.2">
      <c r="A453" s="62" t="s">
        <v>1957</v>
      </c>
    </row>
    <row r="454" spans="1:6" x14ac:dyDescent="0.2">
      <c r="A454" s="62" t="s">
        <v>1958</v>
      </c>
    </row>
    <row r="455" spans="1:6" x14ac:dyDescent="0.2">
      <c r="A455" s="62" t="s">
        <v>1959</v>
      </c>
    </row>
    <row r="456" spans="1:6" x14ac:dyDescent="0.2">
      <c r="A456" s="62" t="s">
        <v>1960</v>
      </c>
    </row>
    <row r="457" spans="1:6" x14ac:dyDescent="0.2">
      <c r="A457" s="62" t="s">
        <v>1961</v>
      </c>
    </row>
    <row r="458" spans="1:6" x14ac:dyDescent="0.2">
      <c r="A458" s="62" t="s">
        <v>1962</v>
      </c>
    </row>
    <row r="460" spans="1:6" x14ac:dyDescent="0.2">
      <c r="B460" s="1"/>
      <c r="C460" s="4"/>
      <c r="D460" s="4"/>
      <c r="E460" s="4"/>
      <c r="F460" s="4" t="s">
        <v>280</v>
      </c>
    </row>
    <row r="461" spans="1:6" x14ac:dyDescent="0.2">
      <c r="B461" s="1"/>
      <c r="C461" s="4"/>
      <c r="D461" s="4"/>
      <c r="E461" s="4"/>
      <c r="F461" s="4"/>
    </row>
    <row r="462" spans="1:6" x14ac:dyDescent="0.2">
      <c r="B462" s="1"/>
      <c r="C462" s="4"/>
      <c r="D462" s="4"/>
      <c r="E462" s="4"/>
      <c r="F462" s="4"/>
    </row>
    <row r="463" spans="1:6" x14ac:dyDescent="0.2">
      <c r="B463" s="4"/>
      <c r="C463" s="4"/>
      <c r="D463" s="4"/>
      <c r="E463" s="4"/>
      <c r="F463" s="4"/>
    </row>
    <row r="464" spans="1:6" x14ac:dyDescent="0.2">
      <c r="B464" s="4"/>
      <c r="C464" s="4"/>
      <c r="D464" s="4"/>
      <c r="E464" s="4"/>
      <c r="F464" s="4"/>
    </row>
    <row r="465" spans="2:6" x14ac:dyDescent="0.2">
      <c r="B465" s="4"/>
      <c r="C465" s="4"/>
      <c r="D465" s="4"/>
      <c r="E465" s="4"/>
      <c r="F465" s="4"/>
    </row>
    <row r="466" spans="2:6" x14ac:dyDescent="0.2">
      <c r="B466" s="4"/>
      <c r="C466" s="4"/>
      <c r="D466" s="4"/>
      <c r="E466" s="4"/>
      <c r="F466" s="4"/>
    </row>
    <row r="467" spans="2:6" x14ac:dyDescent="0.2">
      <c r="B467" s="4"/>
      <c r="C467" s="4"/>
      <c r="D467" s="4"/>
      <c r="E467" s="4"/>
      <c r="F467" s="4"/>
    </row>
    <row r="468" spans="2:6" x14ac:dyDescent="0.2">
      <c r="B468" s="4"/>
      <c r="C468" s="4"/>
      <c r="D468" s="4"/>
      <c r="E468" s="4"/>
      <c r="F468" s="4"/>
    </row>
    <row r="469" spans="2:6" x14ac:dyDescent="0.2">
      <c r="B469" s="128"/>
      <c r="C469" s="4"/>
      <c r="D469" s="4"/>
      <c r="E469" s="4"/>
      <c r="F469" s="4"/>
    </row>
    <row r="470" spans="2:6" x14ac:dyDescent="0.2">
      <c r="B470" s="4"/>
      <c r="C470" s="4"/>
      <c r="D470" s="4"/>
      <c r="E470" s="4"/>
      <c r="F470" s="4"/>
    </row>
    <row r="471" spans="2:6" x14ac:dyDescent="0.2">
      <c r="B471" s="4"/>
      <c r="C471" s="4"/>
      <c r="D471" s="4"/>
      <c r="E471" s="4"/>
      <c r="F471" s="4"/>
    </row>
    <row r="472" spans="2:6" x14ac:dyDescent="0.2">
      <c r="B472" s="4"/>
      <c r="C472" s="4"/>
      <c r="D472" s="4"/>
      <c r="E472" s="4"/>
      <c r="F472" s="4"/>
    </row>
    <row r="473" spans="2:6" x14ac:dyDescent="0.2">
      <c r="B473" s="4"/>
      <c r="C473" s="4"/>
      <c r="E473" s="4"/>
      <c r="F473" s="4"/>
    </row>
    <row r="474" spans="2:6" x14ac:dyDescent="0.2">
      <c r="B474" s="4"/>
      <c r="C474" s="4"/>
      <c r="D474" s="4"/>
      <c r="E474" s="4"/>
      <c r="F474" s="4"/>
    </row>
    <row r="475" spans="2:6" x14ac:dyDescent="0.2">
      <c r="B475" s="4"/>
      <c r="C475" s="4"/>
      <c r="D475" s="4"/>
      <c r="E475" s="4"/>
      <c r="F475" s="4"/>
    </row>
    <row r="476" spans="2:6" x14ac:dyDescent="0.2">
      <c r="B476" s="4"/>
      <c r="C476" s="4"/>
      <c r="D476" s="4"/>
      <c r="E476" s="4"/>
      <c r="F476" s="4"/>
    </row>
  </sheetData>
  <mergeCells count="1">
    <mergeCell ref="A90:H90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339</v>
      </c>
    </row>
    <row r="2" spans="1:4" x14ac:dyDescent="0.2">
      <c r="A2" s="1" t="s">
        <v>342</v>
      </c>
      <c r="D2" s="57" t="s">
        <v>340</v>
      </c>
    </row>
    <row r="3" spans="1:4" x14ac:dyDescent="0.2">
      <c r="A3" s="1" t="s">
        <v>625</v>
      </c>
      <c r="D3" s="59" t="s">
        <v>341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2124</v>
      </c>
      <c r="D6" s="102" t="s">
        <v>2125</v>
      </c>
    </row>
    <row r="7" spans="1:4" ht="17" thickBot="1" x14ac:dyDescent="0.25">
      <c r="A7" s="58">
        <f>A6+1</f>
        <v>2</v>
      </c>
      <c r="B7" s="100">
        <v>45609</v>
      </c>
      <c r="C7" s="101" t="s">
        <v>2126</v>
      </c>
      <c r="D7" s="102" t="s">
        <v>2169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2247</v>
      </c>
      <c r="D8" s="102" t="s">
        <v>2248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2272</v>
      </c>
      <c r="D9" s="102" t="s">
        <v>2275</v>
      </c>
    </row>
    <row r="10" spans="1:4" x14ac:dyDescent="0.2">
      <c r="A10" s="58">
        <f t="shared" si="0"/>
        <v>5</v>
      </c>
      <c r="B10" s="316">
        <v>45630</v>
      </c>
      <c r="C10" s="317" t="s">
        <v>2356</v>
      </c>
      <c r="D10" s="318" t="s">
        <v>2357</v>
      </c>
    </row>
    <row r="11" spans="1:4" x14ac:dyDescent="0.2">
      <c r="A11" s="325" t="s">
        <v>2453</v>
      </c>
      <c r="B11" s="319"/>
      <c r="C11" s="320" t="s">
        <v>2358</v>
      </c>
      <c r="D11" s="321" t="s">
        <v>2446</v>
      </c>
    </row>
    <row r="12" spans="1:4" x14ac:dyDescent="0.2">
      <c r="A12" s="58"/>
      <c r="B12" s="319"/>
      <c r="C12" s="58"/>
      <c r="D12" s="321" t="s">
        <v>2447</v>
      </c>
    </row>
    <row r="13" spans="1:4" ht="17" thickBot="1" x14ac:dyDescent="0.25">
      <c r="A13" s="58"/>
      <c r="B13" s="322"/>
      <c r="C13" s="323"/>
      <c r="D13" s="324"/>
    </row>
    <row r="14" spans="1:4" x14ac:dyDescent="0.2">
      <c r="A14" s="58">
        <f>A10+1</f>
        <v>6</v>
      </c>
      <c r="B14" s="316">
        <v>45637</v>
      </c>
      <c r="C14" s="317" t="s">
        <v>2448</v>
      </c>
      <c r="D14" s="318" t="s">
        <v>2451</v>
      </c>
    </row>
    <row r="15" spans="1:4" x14ac:dyDescent="0.2">
      <c r="A15" s="325" t="s">
        <v>2452</v>
      </c>
      <c r="B15" s="319"/>
      <c r="C15" s="58" t="s">
        <v>2449</v>
      </c>
      <c r="D15" s="321"/>
    </row>
    <row r="16" spans="1:4" ht="17" thickBot="1" x14ac:dyDescent="0.25">
      <c r="A16" s="58"/>
      <c r="B16" s="322"/>
      <c r="C16" s="323" t="s">
        <v>2450</v>
      </c>
      <c r="D16" s="324"/>
    </row>
    <row r="17" spans="1:4" ht="17" thickBot="1" x14ac:dyDescent="0.25">
      <c r="A17" s="1">
        <v>7</v>
      </c>
      <c r="B17" s="285"/>
      <c r="C17" s="6"/>
      <c r="D17" s="7"/>
    </row>
    <row r="18" spans="1:4" ht="17" thickBot="1" x14ac:dyDescent="0.25">
      <c r="A18" s="1">
        <v>8</v>
      </c>
      <c r="B18" s="285"/>
      <c r="C18" s="6"/>
      <c r="D18" s="7"/>
    </row>
    <row r="19" spans="1:4" ht="17" thickBot="1" x14ac:dyDescent="0.25">
      <c r="A19" s="1">
        <v>9</v>
      </c>
      <c r="B19" s="285"/>
      <c r="C19" s="6"/>
      <c r="D19" s="7"/>
    </row>
    <row r="20" spans="1:4" ht="17" thickBot="1" x14ac:dyDescent="0.25">
      <c r="A20" s="1">
        <v>10</v>
      </c>
      <c r="B20" s="285"/>
      <c r="C20" s="6"/>
      <c r="D20" s="7"/>
    </row>
    <row r="21" spans="1:4" ht="17" thickBot="1" x14ac:dyDescent="0.25">
      <c r="A21" s="1">
        <v>11</v>
      </c>
      <c r="B21" s="285"/>
    </row>
    <row r="22" spans="1:4" ht="17" thickBot="1" x14ac:dyDescent="0.25">
      <c r="A22" s="1">
        <v>12</v>
      </c>
      <c r="B22" s="285"/>
    </row>
    <row r="23" spans="1:4" x14ac:dyDescent="0.2">
      <c r="A23" s="1">
        <v>13</v>
      </c>
      <c r="B23" s="285"/>
    </row>
  </sheetData>
  <pageMargins left="0.7" right="0.7" top="0.75" bottom="0.75" header="0.3" footer="0.3"/>
  <pageSetup paperSize="9" scale="73" orientation="landscape" horizontalDpi="0" verticalDpi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4"/>
  <sheetViews>
    <sheetView rightToLeft="1" topLeftCell="A17" zoomScale="200" zoomScaleNormal="92" zoomScaleSheetLayoutView="150" workbookViewId="0">
      <selection activeCell="E30" sqref="E30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1807</v>
      </c>
      <c r="B1" s="2"/>
      <c r="C1" s="2"/>
      <c r="D1" s="2"/>
      <c r="E1" s="2"/>
      <c r="F1" s="2"/>
      <c r="G1" s="3"/>
      <c r="H1" s="3">
        <v>45339</v>
      </c>
    </row>
    <row r="2" spans="1:8" s="1" customFormat="1" x14ac:dyDescent="0.2">
      <c r="A2" s="62" t="s">
        <v>1978</v>
      </c>
      <c r="B2" s="4"/>
      <c r="C2" s="4"/>
      <c r="D2" s="4"/>
      <c r="E2" s="4"/>
      <c r="F2" s="4"/>
      <c r="G2" s="4"/>
      <c r="H2" s="246"/>
    </row>
    <row r="3" spans="1:8" s="1" customFormat="1" x14ac:dyDescent="0.2">
      <c r="A3" s="62" t="s">
        <v>1979</v>
      </c>
      <c r="B3" s="4"/>
      <c r="C3" s="4"/>
      <c r="D3" s="4"/>
      <c r="E3" s="4"/>
      <c r="F3" s="21"/>
      <c r="G3" s="226"/>
      <c r="H3" s="246"/>
    </row>
    <row r="4" spans="1:8" s="1" customFormat="1" x14ac:dyDescent="0.2">
      <c r="A4" s="62" t="s">
        <v>2010</v>
      </c>
      <c r="B4" s="4"/>
      <c r="C4" s="4"/>
      <c r="D4" s="4"/>
      <c r="E4" s="4"/>
      <c r="F4" s="21"/>
      <c r="G4" s="226"/>
      <c r="H4" s="246"/>
    </row>
    <row r="5" spans="1:8" s="1" customFormat="1" x14ac:dyDescent="0.2">
      <c r="A5" s="62" t="s">
        <v>2011</v>
      </c>
      <c r="B5" s="4"/>
      <c r="C5" s="4"/>
      <c r="D5" s="4"/>
      <c r="E5" s="4"/>
      <c r="F5" s="21"/>
      <c r="G5" s="226"/>
      <c r="H5" s="246"/>
    </row>
    <row r="6" spans="1:8" s="1" customFormat="1" x14ac:dyDescent="0.2">
      <c r="A6" s="62" t="s">
        <v>2012</v>
      </c>
      <c r="B6" s="4"/>
      <c r="C6" s="4"/>
      <c r="D6" s="4"/>
      <c r="E6" s="4"/>
      <c r="F6" s="21"/>
      <c r="G6" s="226"/>
      <c r="H6" s="246"/>
    </row>
    <row r="7" spans="1:8" s="1" customFormat="1" x14ac:dyDescent="0.2">
      <c r="A7" s="165"/>
      <c r="B7" s="4"/>
      <c r="C7" s="4"/>
      <c r="D7" s="4"/>
      <c r="E7" s="4"/>
      <c r="F7" s="21"/>
      <c r="G7" s="226"/>
      <c r="H7" s="246"/>
    </row>
    <row r="8" spans="1:8" s="1" customFormat="1" x14ac:dyDescent="0.2">
      <c r="A8" s="62"/>
      <c r="B8" s="4"/>
      <c r="C8" s="4"/>
      <c r="D8" s="4"/>
      <c r="E8" s="4"/>
      <c r="F8" s="21"/>
      <c r="G8" s="226"/>
      <c r="H8" s="246"/>
    </row>
    <row r="9" spans="1:8" s="1" customFormat="1" x14ac:dyDescent="0.2">
      <c r="A9" s="62"/>
      <c r="B9" s="4"/>
      <c r="C9" s="4"/>
      <c r="D9" s="4"/>
      <c r="E9" s="4"/>
      <c r="F9" s="21"/>
      <c r="G9" s="226"/>
      <c r="H9" s="246"/>
    </row>
    <row r="10" spans="1:8" s="1" customFormat="1" x14ac:dyDescent="0.2">
      <c r="A10" s="62"/>
      <c r="B10" s="4"/>
      <c r="C10" s="4"/>
      <c r="D10" s="4"/>
      <c r="E10" s="4"/>
      <c r="F10" s="21"/>
      <c r="G10" s="226"/>
      <c r="H10" s="246"/>
    </row>
    <row r="11" spans="1:8" s="1" customFormat="1" x14ac:dyDescent="0.2">
      <c r="A11" s="62"/>
      <c r="B11" s="4"/>
      <c r="C11" s="4"/>
      <c r="D11" s="4"/>
      <c r="E11" s="4"/>
      <c r="F11" s="21"/>
      <c r="G11" s="226"/>
      <c r="H11" s="246"/>
    </row>
    <row r="12" spans="1:8" s="1" customFormat="1" x14ac:dyDescent="0.2">
      <c r="A12" s="62"/>
      <c r="B12" s="4"/>
      <c r="C12" s="4"/>
      <c r="D12" s="4"/>
      <c r="E12" s="4"/>
      <c r="F12" s="21"/>
      <c r="G12" s="226"/>
      <c r="H12" s="246"/>
    </row>
    <row r="13" spans="1:8" s="1" customFormat="1" x14ac:dyDescent="0.2">
      <c r="A13" s="62"/>
      <c r="B13" s="4"/>
      <c r="C13" s="4"/>
      <c r="D13" s="4"/>
      <c r="E13" s="4"/>
      <c r="F13" s="21"/>
      <c r="G13" s="226"/>
      <c r="H13" s="246"/>
    </row>
    <row r="14" spans="1:8" s="1" customFormat="1" x14ac:dyDescent="0.2">
      <c r="A14" s="165"/>
      <c r="B14" s="4"/>
      <c r="C14" s="4"/>
      <c r="D14" s="4"/>
      <c r="E14" s="4"/>
      <c r="F14" s="21"/>
      <c r="G14" s="21"/>
      <c r="H14" s="246"/>
    </row>
    <row r="15" spans="1:8" s="1" customFormat="1" x14ac:dyDescent="0.2">
      <c r="A15" s="364" t="s">
        <v>1809</v>
      </c>
      <c r="B15" s="364"/>
      <c r="C15" s="364"/>
      <c r="D15" s="364"/>
      <c r="E15" s="364"/>
      <c r="F15" s="364"/>
      <c r="G15" s="364"/>
      <c r="H15" s="364"/>
    </row>
    <row r="16" spans="1:8" s="1" customFormat="1" x14ac:dyDescent="0.2">
      <c r="A16" s="165"/>
      <c r="B16" s="4"/>
      <c r="C16" s="4"/>
      <c r="D16" s="4"/>
      <c r="E16" s="4"/>
      <c r="F16" s="4"/>
      <c r="G16" s="4"/>
      <c r="H16" s="246"/>
    </row>
    <row r="17" spans="1:8" s="1" customFormat="1" x14ac:dyDescent="0.2">
      <c r="A17" s="117" t="s">
        <v>665</v>
      </c>
      <c r="B17" s="117"/>
      <c r="C17" s="117"/>
      <c r="D17" s="117"/>
      <c r="E17" s="117"/>
      <c r="F17" s="117"/>
      <c r="G17" s="117" t="s">
        <v>756</v>
      </c>
      <c r="H17" s="117"/>
    </row>
    <row r="18" spans="1:8" s="1" customFormat="1" x14ac:dyDescent="0.2">
      <c r="A18" s="1" t="s">
        <v>1980</v>
      </c>
      <c r="G18" s="13"/>
    </row>
    <row r="19" spans="1:8" s="1" customFormat="1" x14ac:dyDescent="0.2">
      <c r="A19" s="1" t="s">
        <v>1981</v>
      </c>
      <c r="G19" s="13"/>
    </row>
    <row r="20" spans="1:8" s="1" customFormat="1" x14ac:dyDescent="0.2">
      <c r="A20" s="1" t="s">
        <v>2046</v>
      </c>
      <c r="G20" s="13"/>
    </row>
    <row r="21" spans="1:8" s="1" customFormat="1" x14ac:dyDescent="0.2">
      <c r="A21" s="1" t="s">
        <v>1983</v>
      </c>
      <c r="D21" s="4"/>
      <c r="G21" s="4"/>
    </row>
    <row r="22" spans="1:8" s="1" customFormat="1" x14ac:dyDescent="0.2">
      <c r="A22" s="1" t="s">
        <v>1984</v>
      </c>
    </row>
    <row r="23" spans="1:8" s="1" customFormat="1" x14ac:dyDescent="0.2">
      <c r="A23" s="1" t="s">
        <v>1985</v>
      </c>
    </row>
    <row r="24" spans="1:8" s="1" customFormat="1" x14ac:dyDescent="0.2">
      <c r="A24" s="62" t="s">
        <v>1992</v>
      </c>
    </row>
    <row r="25" spans="1:8" s="1" customFormat="1" x14ac:dyDescent="0.2">
      <c r="A25" s="62" t="s">
        <v>1989</v>
      </c>
    </row>
    <row r="26" spans="1:8" s="1" customFormat="1" x14ac:dyDescent="0.2">
      <c r="A26" s="62" t="s">
        <v>1990</v>
      </c>
      <c r="E26" s="4"/>
    </row>
    <row r="27" spans="1:8" s="1" customFormat="1" x14ac:dyDescent="0.2">
      <c r="A27" s="1" t="s">
        <v>1994</v>
      </c>
    </row>
    <row r="28" spans="1:8" x14ac:dyDescent="0.2">
      <c r="A28" s="1" t="s">
        <v>1988</v>
      </c>
    </row>
    <row r="29" spans="1:8" x14ac:dyDescent="0.2">
      <c r="A29" s="13" t="s">
        <v>2085</v>
      </c>
    </row>
    <row r="30" spans="1:8" x14ac:dyDescent="0.2">
      <c r="A30" s="13" t="s">
        <v>2086</v>
      </c>
    </row>
    <row r="31" spans="1:8" x14ac:dyDescent="0.2">
      <c r="A31" s="1" t="s">
        <v>1986</v>
      </c>
    </row>
    <row r="32" spans="1:8" x14ac:dyDescent="0.2">
      <c r="A32" s="1" t="s">
        <v>1993</v>
      </c>
    </row>
    <row r="33" spans="1:8" s="1" customFormat="1" x14ac:dyDescent="0.2">
      <c r="A33" s="4" t="s">
        <v>2014</v>
      </c>
      <c r="B33" s="4"/>
      <c r="C33" s="4"/>
      <c r="D33" s="4"/>
      <c r="E33" s="4"/>
      <c r="F33" s="4"/>
      <c r="G33" s="4"/>
      <c r="H33" s="246"/>
    </row>
    <row r="34" spans="1:8" s="1" customFormat="1" x14ac:dyDescent="0.2">
      <c r="B34" s="4"/>
      <c r="C34" s="4"/>
      <c r="D34" s="4"/>
      <c r="E34" s="4"/>
      <c r="F34" s="4"/>
      <c r="G34" s="4"/>
      <c r="H34" s="246"/>
    </row>
    <row r="35" spans="1:8" s="1" customFormat="1" x14ac:dyDescent="0.2">
      <c r="A35" s="4" t="s">
        <v>78</v>
      </c>
      <c r="B35" s="4"/>
      <c r="C35" s="4"/>
      <c r="D35" s="4"/>
      <c r="E35" s="4"/>
      <c r="F35" s="4"/>
      <c r="G35" s="4"/>
      <c r="H35" s="246"/>
    </row>
    <row r="36" spans="1:8" s="1" customFormat="1" ht="17" thickBot="1" x14ac:dyDescent="0.25">
      <c r="B36" s="4"/>
      <c r="C36" s="4"/>
      <c r="D36" s="4"/>
      <c r="E36" s="4"/>
      <c r="F36" s="4"/>
      <c r="G36" s="4"/>
      <c r="H36" s="246"/>
    </row>
    <row r="37" spans="1:8" s="1" customFormat="1" x14ac:dyDescent="0.2">
      <c r="A37" s="97" t="s">
        <v>1981</v>
      </c>
      <c r="B37" s="113"/>
      <c r="C37" s="113"/>
      <c r="D37" s="113"/>
      <c r="E37" s="113"/>
      <c r="F37" s="113"/>
      <c r="G37" s="113"/>
      <c r="H37" s="250"/>
    </row>
    <row r="38" spans="1:8" s="1" customFormat="1" x14ac:dyDescent="0.2">
      <c r="A38" s="41" t="s">
        <v>1982</v>
      </c>
      <c r="B38" s="4"/>
      <c r="C38" s="4"/>
      <c r="D38" s="4"/>
      <c r="E38" s="4"/>
      <c r="F38" s="4"/>
      <c r="G38" s="4"/>
      <c r="H38" s="251"/>
    </row>
    <row r="39" spans="1:8" s="1" customFormat="1" x14ac:dyDescent="0.2">
      <c r="A39" s="41" t="s">
        <v>1983</v>
      </c>
      <c r="B39" s="4"/>
      <c r="C39" s="4"/>
      <c r="D39" s="4"/>
      <c r="E39" s="4"/>
      <c r="F39" s="4"/>
      <c r="G39" s="4"/>
      <c r="H39" s="251"/>
    </row>
    <row r="40" spans="1:8" s="1" customFormat="1" x14ac:dyDescent="0.2">
      <c r="A40" s="41" t="s">
        <v>1984</v>
      </c>
      <c r="B40" s="4"/>
      <c r="C40" s="4"/>
      <c r="D40" s="4"/>
      <c r="E40" s="4"/>
      <c r="F40" s="4"/>
      <c r="G40" s="4"/>
      <c r="H40" s="251"/>
    </row>
    <row r="41" spans="1:8" s="1" customFormat="1" ht="17" thickBot="1" x14ac:dyDescent="0.25">
      <c r="A41" s="43" t="s">
        <v>1985</v>
      </c>
      <c r="B41" s="115"/>
      <c r="C41" s="115"/>
      <c r="D41" s="115"/>
      <c r="E41" s="115"/>
      <c r="F41" s="115"/>
      <c r="G41" s="115"/>
      <c r="H41" s="252"/>
    </row>
    <row r="42" spans="1:8" s="1" customFormat="1" x14ac:dyDescent="0.2">
      <c r="B42" s="4"/>
      <c r="C42" s="4"/>
      <c r="D42" s="4"/>
      <c r="E42" s="4"/>
      <c r="F42" s="4"/>
      <c r="G42" s="4"/>
      <c r="H42" s="246"/>
    </row>
    <row r="43" spans="1:8" s="1" customFormat="1" x14ac:dyDescent="0.2">
      <c r="A43" s="1" t="s">
        <v>2047</v>
      </c>
      <c r="B43" s="4"/>
      <c r="C43" s="4"/>
      <c r="D43" s="4"/>
      <c r="E43" s="4"/>
      <c r="F43" s="4"/>
      <c r="G43" s="4"/>
      <c r="H43" s="246"/>
    </row>
    <row r="44" spans="1:8" s="1" customFormat="1" x14ac:dyDescent="0.2">
      <c r="A44" s="1" t="s">
        <v>2048</v>
      </c>
      <c r="B44" s="4"/>
      <c r="C44" s="4"/>
      <c r="D44" s="4"/>
      <c r="E44" s="4"/>
      <c r="F44" s="4"/>
      <c r="G44" s="4"/>
      <c r="H44" s="246"/>
    </row>
    <row r="45" spans="1:8" s="1" customFormat="1" x14ac:dyDescent="0.2">
      <c r="A45" s="1" t="s">
        <v>2049</v>
      </c>
      <c r="B45" s="4"/>
      <c r="C45" s="4"/>
      <c r="D45" s="4"/>
      <c r="E45" s="4"/>
      <c r="F45" s="4"/>
      <c r="G45" s="4"/>
      <c r="H45" s="246"/>
    </row>
    <row r="46" spans="1:8" s="1" customFormat="1" x14ac:dyDescent="0.2">
      <c r="B46" s="4"/>
      <c r="C46" s="4"/>
      <c r="D46" s="4"/>
      <c r="E46" s="4"/>
      <c r="F46" s="4"/>
      <c r="G46" s="4"/>
      <c r="H46" s="246"/>
    </row>
    <row r="47" spans="1:8" s="1" customFormat="1" x14ac:dyDescent="0.2">
      <c r="A47" s="14"/>
      <c r="B47" s="274" t="s">
        <v>280</v>
      </c>
      <c r="C47" s="274" t="s">
        <v>280</v>
      </c>
      <c r="D47" s="274" t="s">
        <v>1341</v>
      </c>
      <c r="E47" s="4"/>
      <c r="F47" s="4"/>
      <c r="G47" s="4"/>
      <c r="H47" s="246"/>
    </row>
    <row r="48" spans="1:8" s="1" customFormat="1" x14ac:dyDescent="0.2">
      <c r="A48" s="274" t="s">
        <v>71</v>
      </c>
      <c r="B48" s="274" t="s">
        <v>2050</v>
      </c>
      <c r="C48" s="274" t="s">
        <v>2051</v>
      </c>
      <c r="D48" s="274" t="s">
        <v>280</v>
      </c>
      <c r="E48" s="4"/>
      <c r="F48" s="4"/>
      <c r="G48" s="4"/>
      <c r="H48" s="246"/>
    </row>
    <row r="49" spans="1:8" s="1" customFormat="1" x14ac:dyDescent="0.2">
      <c r="A49" s="14">
        <v>30</v>
      </c>
      <c r="B49" s="34">
        <f>IF(A49&lt;80,80-A49-10,-10)</f>
        <v>40</v>
      </c>
      <c r="C49" s="34">
        <f>IF(A49&gt;90,A49-90-15,-15)</f>
        <v>-15</v>
      </c>
      <c r="D49" s="34">
        <f>B49+C49</f>
        <v>25</v>
      </c>
      <c r="E49" s="4"/>
      <c r="F49" s="4"/>
      <c r="G49" s="4"/>
      <c r="H49" s="246"/>
    </row>
    <row r="50" spans="1:8" s="1" customFormat="1" x14ac:dyDescent="0.2">
      <c r="A50" s="14">
        <f>A49+10</f>
        <v>40</v>
      </c>
      <c r="B50" s="34">
        <f t="shared" ref="B50:B59" si="0">IF(A50&lt;80,80-A50-10,-10)</f>
        <v>30</v>
      </c>
      <c r="C50" s="34">
        <f t="shared" ref="C50:C59" si="1">IF(A50&gt;90,A50-90-15,-15)</f>
        <v>-15</v>
      </c>
      <c r="D50" s="34">
        <f t="shared" ref="D50:D59" si="2">B50+C50</f>
        <v>15</v>
      </c>
      <c r="E50" s="4"/>
      <c r="F50" s="4"/>
      <c r="G50" s="4"/>
      <c r="H50" s="246"/>
    </row>
    <row r="51" spans="1:8" s="1" customFormat="1" x14ac:dyDescent="0.2">
      <c r="A51" s="14">
        <f t="shared" ref="A51:A59" si="3">A50+10</f>
        <v>50</v>
      </c>
      <c r="B51" s="34">
        <f t="shared" si="0"/>
        <v>20</v>
      </c>
      <c r="C51" s="34">
        <f t="shared" si="1"/>
        <v>-15</v>
      </c>
      <c r="D51" s="34">
        <f t="shared" si="2"/>
        <v>5</v>
      </c>
      <c r="E51" s="4"/>
      <c r="F51" s="4"/>
      <c r="G51" s="4"/>
      <c r="H51" s="246"/>
    </row>
    <row r="52" spans="1:8" s="1" customFormat="1" x14ac:dyDescent="0.2">
      <c r="A52" s="14">
        <f t="shared" si="3"/>
        <v>60</v>
      </c>
      <c r="B52" s="34">
        <f t="shared" si="0"/>
        <v>10</v>
      </c>
      <c r="C52" s="34">
        <f t="shared" si="1"/>
        <v>-15</v>
      </c>
      <c r="D52" s="34">
        <f t="shared" si="2"/>
        <v>-5</v>
      </c>
      <c r="E52" s="4"/>
      <c r="F52" s="4"/>
      <c r="G52" s="4"/>
      <c r="H52" s="246"/>
    </row>
    <row r="53" spans="1:8" s="1" customFormat="1" x14ac:dyDescent="0.2">
      <c r="A53" s="14">
        <f t="shared" si="3"/>
        <v>70</v>
      </c>
      <c r="B53" s="34">
        <f t="shared" si="0"/>
        <v>0</v>
      </c>
      <c r="C53" s="34">
        <f t="shared" si="1"/>
        <v>-15</v>
      </c>
      <c r="D53" s="34">
        <f t="shared" si="2"/>
        <v>-15</v>
      </c>
      <c r="E53" s="4"/>
      <c r="F53" s="4"/>
      <c r="G53" s="4"/>
      <c r="H53" s="246"/>
    </row>
    <row r="54" spans="1:8" s="1" customFormat="1" x14ac:dyDescent="0.2">
      <c r="A54" s="14">
        <f t="shared" si="3"/>
        <v>80</v>
      </c>
      <c r="B54" s="34">
        <f t="shared" si="0"/>
        <v>-10</v>
      </c>
      <c r="C54" s="34">
        <f t="shared" si="1"/>
        <v>-15</v>
      </c>
      <c r="D54" s="34">
        <f t="shared" si="2"/>
        <v>-25</v>
      </c>
      <c r="E54" s="4"/>
      <c r="F54" s="4"/>
      <c r="G54" s="4"/>
      <c r="H54" s="246"/>
    </row>
    <row r="55" spans="1:8" s="1" customFormat="1" x14ac:dyDescent="0.2">
      <c r="A55" s="14">
        <f t="shared" si="3"/>
        <v>90</v>
      </c>
      <c r="B55" s="34">
        <f t="shared" si="0"/>
        <v>-10</v>
      </c>
      <c r="C55" s="34">
        <f t="shared" si="1"/>
        <v>-15</v>
      </c>
      <c r="D55" s="34">
        <f t="shared" si="2"/>
        <v>-25</v>
      </c>
      <c r="E55" s="4"/>
      <c r="F55" s="4"/>
      <c r="G55" s="4"/>
      <c r="H55" s="246"/>
    </row>
    <row r="56" spans="1:8" s="1" customFormat="1" x14ac:dyDescent="0.2">
      <c r="A56" s="14">
        <f t="shared" si="3"/>
        <v>100</v>
      </c>
      <c r="B56" s="34">
        <f t="shared" si="0"/>
        <v>-10</v>
      </c>
      <c r="C56" s="34">
        <f t="shared" si="1"/>
        <v>-5</v>
      </c>
      <c r="D56" s="34">
        <f t="shared" si="2"/>
        <v>-15</v>
      </c>
      <c r="E56" s="4"/>
      <c r="F56" s="4"/>
      <c r="G56" s="4"/>
      <c r="H56" s="246"/>
    </row>
    <row r="57" spans="1:8" s="1" customFormat="1" x14ac:dyDescent="0.2">
      <c r="A57" s="14">
        <f t="shared" si="3"/>
        <v>110</v>
      </c>
      <c r="B57" s="34">
        <f t="shared" si="0"/>
        <v>-10</v>
      </c>
      <c r="C57" s="34">
        <f t="shared" si="1"/>
        <v>5</v>
      </c>
      <c r="D57" s="34">
        <f t="shared" si="2"/>
        <v>-5</v>
      </c>
      <c r="E57" s="4"/>
      <c r="F57" s="4"/>
      <c r="G57" s="4"/>
      <c r="H57" s="246"/>
    </row>
    <row r="58" spans="1:8" s="1" customFormat="1" x14ac:dyDescent="0.2">
      <c r="A58" s="14">
        <f t="shared" si="3"/>
        <v>120</v>
      </c>
      <c r="B58" s="34">
        <f t="shared" si="0"/>
        <v>-10</v>
      </c>
      <c r="C58" s="34">
        <f t="shared" si="1"/>
        <v>15</v>
      </c>
      <c r="D58" s="34">
        <f t="shared" si="2"/>
        <v>5</v>
      </c>
      <c r="E58" s="4"/>
      <c r="F58" s="4"/>
      <c r="G58" s="4"/>
      <c r="H58" s="246"/>
    </row>
    <row r="59" spans="1:8" s="1" customFormat="1" x14ac:dyDescent="0.2">
      <c r="A59" s="14">
        <f t="shared" si="3"/>
        <v>130</v>
      </c>
      <c r="B59" s="34">
        <f t="shared" si="0"/>
        <v>-10</v>
      </c>
      <c r="C59" s="34">
        <f t="shared" si="1"/>
        <v>25</v>
      </c>
      <c r="D59" s="34">
        <f t="shared" si="2"/>
        <v>15</v>
      </c>
      <c r="E59" s="4"/>
      <c r="F59" s="4"/>
      <c r="G59" s="4"/>
      <c r="H59" s="246"/>
    </row>
    <row r="60" spans="1:8" s="1" customFormat="1" x14ac:dyDescent="0.2">
      <c r="B60" s="4"/>
      <c r="C60" s="4"/>
      <c r="D60" s="4"/>
      <c r="E60" s="4"/>
      <c r="F60" s="4"/>
      <c r="G60" s="4"/>
      <c r="H60" s="246"/>
    </row>
    <row r="61" spans="1:8" s="1" customFormat="1" x14ac:dyDescent="0.2">
      <c r="A61" s="1" t="s">
        <v>2021</v>
      </c>
      <c r="B61" s="4"/>
      <c r="C61" s="4"/>
      <c r="D61" s="4"/>
      <c r="E61" s="4"/>
      <c r="F61" s="4"/>
      <c r="G61" s="4"/>
      <c r="H61" s="246"/>
    </row>
    <row r="62" spans="1:8" s="1" customFormat="1" x14ac:dyDescent="0.2">
      <c r="A62" s="1" t="s">
        <v>2022</v>
      </c>
      <c r="B62" s="4"/>
      <c r="C62" s="4"/>
      <c r="D62" s="4"/>
      <c r="E62" s="4"/>
      <c r="F62" s="4"/>
      <c r="G62" s="4"/>
      <c r="H62" s="246"/>
    </row>
    <row r="63" spans="1:8" s="1" customFormat="1" x14ac:dyDescent="0.2">
      <c r="B63" s="4"/>
      <c r="C63" s="4"/>
      <c r="D63" s="4"/>
      <c r="E63" s="4"/>
      <c r="F63" s="4"/>
      <c r="G63" s="4"/>
      <c r="H63" s="246"/>
    </row>
    <row r="64" spans="1:8" s="1" customFormat="1" x14ac:dyDescent="0.2">
      <c r="B64" s="4"/>
      <c r="C64" s="4"/>
      <c r="D64" s="4"/>
      <c r="E64" s="4"/>
      <c r="F64" s="4" t="s">
        <v>280</v>
      </c>
      <c r="G64" s="4"/>
      <c r="H64" s="246"/>
    </row>
    <row r="65" spans="1:8" s="1" customFormat="1" x14ac:dyDescent="0.2">
      <c r="B65" s="4"/>
      <c r="C65" s="4"/>
      <c r="D65" s="4"/>
      <c r="E65" s="4"/>
      <c r="F65" s="4"/>
      <c r="G65" s="4"/>
      <c r="H65" s="246"/>
    </row>
    <row r="66" spans="1:8" s="1" customFormat="1" x14ac:dyDescent="0.2">
      <c r="B66" s="4"/>
      <c r="C66" s="4"/>
      <c r="D66" s="4"/>
      <c r="E66" s="4"/>
      <c r="F66" s="4"/>
      <c r="G66" s="4"/>
      <c r="H66" s="246"/>
    </row>
    <row r="67" spans="1:8" s="1" customFormat="1" x14ac:dyDescent="0.2">
      <c r="B67" s="4"/>
      <c r="C67" s="4"/>
      <c r="D67" s="4"/>
      <c r="E67" s="4"/>
      <c r="F67" s="4"/>
      <c r="G67" s="4"/>
      <c r="H67" s="246"/>
    </row>
    <row r="68" spans="1:8" s="1" customFormat="1" x14ac:dyDescent="0.2">
      <c r="B68" s="4"/>
      <c r="C68" s="4"/>
      <c r="D68" s="4"/>
      <c r="E68" s="4"/>
      <c r="F68" s="4"/>
      <c r="G68" s="4"/>
      <c r="H68" s="246"/>
    </row>
    <row r="69" spans="1:8" s="1" customFormat="1" x14ac:dyDescent="0.2">
      <c r="B69" s="4"/>
      <c r="C69" s="4"/>
      <c r="D69" s="4"/>
      <c r="E69" s="4"/>
      <c r="F69" s="4"/>
      <c r="G69" s="4"/>
      <c r="H69" s="246"/>
    </row>
    <row r="70" spans="1:8" s="1" customFormat="1" x14ac:dyDescent="0.2">
      <c r="B70" s="4"/>
      <c r="C70" s="4"/>
      <c r="D70" s="4"/>
      <c r="E70" s="4"/>
      <c r="F70" s="4"/>
      <c r="G70" s="4"/>
      <c r="H70" s="246"/>
    </row>
    <row r="71" spans="1:8" s="1" customFormat="1" x14ac:dyDescent="0.2">
      <c r="B71" s="4"/>
      <c r="C71" s="4"/>
      <c r="D71" s="4"/>
      <c r="E71" s="4"/>
      <c r="F71" s="4"/>
      <c r="G71" s="4"/>
      <c r="H71" s="246"/>
    </row>
    <row r="72" spans="1:8" s="1" customFormat="1" x14ac:dyDescent="0.2">
      <c r="B72" s="128" t="s">
        <v>71</v>
      </c>
      <c r="C72" s="4"/>
      <c r="D72" s="4"/>
      <c r="E72" s="4"/>
      <c r="F72" s="4"/>
      <c r="G72" s="4"/>
      <c r="H72" s="246"/>
    </row>
    <row r="73" spans="1:8" s="1" customFormat="1" x14ac:dyDescent="0.2">
      <c r="B73" s="4"/>
      <c r="C73" s="4"/>
      <c r="D73" s="4"/>
      <c r="E73" s="4"/>
      <c r="F73" s="4"/>
      <c r="G73" s="4"/>
      <c r="H73" s="246"/>
    </row>
    <row r="74" spans="1:8" s="1" customFormat="1" x14ac:dyDescent="0.2">
      <c r="B74" s="4"/>
      <c r="C74" s="4"/>
      <c r="D74" s="4"/>
      <c r="E74" s="4"/>
      <c r="F74" s="4"/>
      <c r="G74" s="4"/>
      <c r="H74" s="246"/>
    </row>
    <row r="75" spans="1:8" s="1" customFormat="1" x14ac:dyDescent="0.2">
      <c r="B75" s="4"/>
      <c r="C75" s="4"/>
      <c r="D75" s="4"/>
      <c r="E75" s="4"/>
      <c r="F75" s="4"/>
      <c r="G75" s="4"/>
      <c r="H75" s="246"/>
    </row>
    <row r="76" spans="1:8" s="1" customFormat="1" x14ac:dyDescent="0.2">
      <c r="B76" s="4"/>
      <c r="C76" s="4"/>
      <c r="D76" s="4"/>
      <c r="E76" s="4"/>
      <c r="F76" s="4"/>
      <c r="G76" s="4"/>
      <c r="H76" s="246"/>
    </row>
    <row r="77" spans="1:8" s="1" customFormat="1" x14ac:dyDescent="0.2">
      <c r="B77" s="4"/>
      <c r="C77" s="4"/>
      <c r="D77" s="4"/>
      <c r="E77" s="4"/>
      <c r="F77" s="4"/>
      <c r="G77" s="4"/>
      <c r="H77" s="246"/>
    </row>
    <row r="78" spans="1:8" s="1" customFormat="1" x14ac:dyDescent="0.2">
      <c r="B78" s="4"/>
      <c r="C78" s="4"/>
      <c r="D78" s="4"/>
      <c r="E78" s="4"/>
      <c r="F78" s="4"/>
      <c r="G78" s="4"/>
      <c r="H78" s="246"/>
    </row>
    <row r="79" spans="1:8" s="1" customFormat="1" x14ac:dyDescent="0.2">
      <c r="B79" s="4"/>
      <c r="C79" s="4"/>
      <c r="D79" s="4"/>
      <c r="E79" s="4"/>
      <c r="F79" s="4"/>
      <c r="G79" s="4"/>
      <c r="H79" s="246"/>
    </row>
    <row r="80" spans="1:8" s="1" customFormat="1" x14ac:dyDescent="0.2">
      <c r="A80" s="1" t="s">
        <v>2052</v>
      </c>
      <c r="B80" s="4"/>
      <c r="C80" s="4"/>
      <c r="D80" s="4"/>
      <c r="E80" s="4"/>
      <c r="F80" s="4"/>
      <c r="G80" s="4"/>
      <c r="H80" s="246"/>
    </row>
    <row r="81" spans="1:8" s="1" customFormat="1" x14ac:dyDescent="0.2">
      <c r="A81" s="1" t="s">
        <v>2053</v>
      </c>
      <c r="B81" s="4"/>
      <c r="C81" s="4"/>
      <c r="D81" s="4"/>
      <c r="E81" s="4"/>
      <c r="F81" s="4"/>
      <c r="G81" s="4"/>
      <c r="H81" s="246"/>
    </row>
    <row r="82" spans="1:8" s="1" customFormat="1" x14ac:dyDescent="0.2">
      <c r="A82" s="1" t="s">
        <v>2054</v>
      </c>
      <c r="B82" s="4"/>
      <c r="C82" s="4"/>
      <c r="D82" s="4"/>
      <c r="E82" s="4"/>
      <c r="F82" s="4"/>
      <c r="G82" s="4"/>
      <c r="H82" s="246"/>
    </row>
    <row r="83" spans="1:8" s="1" customFormat="1" x14ac:dyDescent="0.2">
      <c r="A83" s="1" t="s">
        <v>2055</v>
      </c>
      <c r="B83" s="4"/>
      <c r="C83" s="4"/>
      <c r="D83" s="4"/>
      <c r="E83" s="4"/>
      <c r="F83" s="4"/>
      <c r="G83" s="4"/>
      <c r="H83" s="246"/>
    </row>
    <row r="84" spans="1:8" s="1" customFormat="1" x14ac:dyDescent="0.2">
      <c r="A84" s="1" t="s">
        <v>2056</v>
      </c>
      <c r="B84" s="4"/>
      <c r="C84" s="4"/>
      <c r="D84" s="4"/>
      <c r="E84" s="4"/>
      <c r="F84" s="4"/>
      <c r="G84" s="4"/>
      <c r="H84" s="246"/>
    </row>
    <row r="85" spans="1:8" s="1" customFormat="1" ht="17" thickBot="1" x14ac:dyDescent="0.25">
      <c r="B85" s="4"/>
      <c r="C85" s="4"/>
      <c r="D85" s="4"/>
      <c r="E85" s="4"/>
      <c r="F85" s="4"/>
      <c r="G85" s="4"/>
      <c r="H85" s="246"/>
    </row>
    <row r="86" spans="1:8" s="1" customFormat="1" x14ac:dyDescent="0.2">
      <c r="A86" s="69" t="s">
        <v>1992</v>
      </c>
      <c r="B86" s="113"/>
      <c r="C86" s="113"/>
      <c r="D86" s="113"/>
      <c r="E86" s="113"/>
      <c r="F86" s="113"/>
      <c r="G86" s="113"/>
      <c r="H86" s="250"/>
    </row>
    <row r="87" spans="1:8" s="1" customFormat="1" x14ac:dyDescent="0.2">
      <c r="A87" s="64" t="s">
        <v>1989</v>
      </c>
      <c r="B87" s="4"/>
      <c r="C87" s="4"/>
      <c r="D87" s="4"/>
      <c r="E87" s="4"/>
      <c r="F87" s="4"/>
      <c r="G87" s="4"/>
      <c r="H87" s="251"/>
    </row>
    <row r="88" spans="1:8" s="1" customFormat="1" ht="17" thickBot="1" x14ac:dyDescent="0.25">
      <c r="A88" s="65" t="s">
        <v>1990</v>
      </c>
      <c r="B88" s="115"/>
      <c r="C88" s="115"/>
      <c r="D88" s="115"/>
      <c r="E88" s="115"/>
      <c r="F88" s="115"/>
      <c r="G88" s="115"/>
      <c r="H88" s="252"/>
    </row>
    <row r="89" spans="1:8" s="1" customFormat="1" x14ac:dyDescent="0.2">
      <c r="B89" s="4"/>
      <c r="C89" s="4"/>
      <c r="D89" s="4"/>
      <c r="E89" s="4"/>
      <c r="F89" s="4"/>
      <c r="G89" s="4"/>
      <c r="H89" s="246"/>
    </row>
    <row r="90" spans="1:8" s="1" customFormat="1" x14ac:dyDescent="0.2">
      <c r="A90" s="1" t="s">
        <v>2057</v>
      </c>
      <c r="B90" s="4"/>
      <c r="C90" s="4"/>
      <c r="D90" s="4"/>
      <c r="E90" s="4"/>
      <c r="F90" s="4"/>
      <c r="G90" s="4"/>
      <c r="H90" s="246"/>
    </row>
    <row r="91" spans="1:8" s="1" customFormat="1" x14ac:dyDescent="0.2">
      <c r="A91" s="1" t="s">
        <v>2058</v>
      </c>
      <c r="B91" s="4"/>
      <c r="C91" s="4"/>
      <c r="D91" s="4"/>
      <c r="E91" s="4"/>
      <c r="F91" s="4"/>
      <c r="G91" s="4"/>
      <c r="H91" s="246"/>
    </row>
    <row r="92" spans="1:8" s="1" customFormat="1" x14ac:dyDescent="0.2">
      <c r="A92" s="1" t="s">
        <v>2059</v>
      </c>
      <c r="B92" s="4"/>
      <c r="C92" s="4"/>
      <c r="D92" s="4"/>
      <c r="E92" s="4"/>
      <c r="F92" s="4"/>
      <c r="G92" s="4"/>
      <c r="H92" s="246"/>
    </row>
    <row r="93" spans="1:8" s="1" customFormat="1" x14ac:dyDescent="0.2">
      <c r="A93" s="1" t="s">
        <v>2060</v>
      </c>
      <c r="B93" s="4"/>
      <c r="C93" s="4"/>
      <c r="D93" s="4"/>
      <c r="F93" s="4"/>
      <c r="G93" s="4"/>
      <c r="H93" s="246"/>
    </row>
    <row r="94" spans="1:8" s="1" customFormat="1" x14ac:dyDescent="0.2">
      <c r="B94" s="4"/>
      <c r="C94" s="4" t="s">
        <v>2062</v>
      </c>
      <c r="D94" s="4"/>
      <c r="E94" s="4" t="s">
        <v>2061</v>
      </c>
      <c r="F94" s="4"/>
      <c r="G94" s="4"/>
      <c r="H94" s="246"/>
    </row>
    <row r="95" spans="1:8" s="1" customFormat="1" ht="17" thickBot="1" x14ac:dyDescent="0.25">
      <c r="B95" s="4"/>
      <c r="C95" s="4"/>
      <c r="D95" s="4"/>
      <c r="E95" s="4"/>
      <c r="F95" s="4"/>
      <c r="G95" s="4"/>
      <c r="H95" s="246"/>
    </row>
    <row r="96" spans="1:8" s="1" customFormat="1" x14ac:dyDescent="0.2">
      <c r="A96" s="280">
        <f>80*100-900+180*100-1850</f>
        <v>23250</v>
      </c>
      <c r="B96" s="4"/>
      <c r="C96" s="4"/>
      <c r="D96" s="4"/>
      <c r="E96" s="4"/>
      <c r="F96" s="4" t="s">
        <v>2023</v>
      </c>
      <c r="G96" s="4"/>
      <c r="H96" s="246"/>
    </row>
    <row r="97" spans="1:8" s="1" customFormat="1" x14ac:dyDescent="0.2">
      <c r="A97" s="281" t="s">
        <v>2065</v>
      </c>
      <c r="B97" s="4"/>
      <c r="C97" s="4"/>
      <c r="D97" s="4"/>
      <c r="E97" s="4"/>
      <c r="F97" s="4"/>
      <c r="G97" s="4"/>
      <c r="H97" s="246"/>
    </row>
    <row r="98" spans="1:8" s="1" customFormat="1" ht="17" thickBot="1" x14ac:dyDescent="0.25">
      <c r="A98" s="282" t="s">
        <v>2066</v>
      </c>
      <c r="B98" s="4"/>
      <c r="C98" s="4"/>
      <c r="D98" s="4"/>
      <c r="E98" s="4"/>
      <c r="F98" s="4"/>
      <c r="G98" s="4"/>
      <c r="H98" s="246"/>
    </row>
    <row r="99" spans="1:8" s="1" customFormat="1" x14ac:dyDescent="0.2">
      <c r="A99" s="4"/>
      <c r="B99" s="4"/>
      <c r="C99" s="4"/>
      <c r="D99" s="4"/>
      <c r="E99" s="4"/>
      <c r="F99" s="4"/>
      <c r="G99" s="4"/>
      <c r="H99" s="246"/>
    </row>
    <row r="100" spans="1:8" s="1" customFormat="1" x14ac:dyDescent="0.2">
      <c r="A100" s="4"/>
      <c r="B100" s="104" t="s">
        <v>1017</v>
      </c>
      <c r="C100" s="1" t="s">
        <v>2063</v>
      </c>
      <c r="D100" s="104" t="s">
        <v>1017</v>
      </c>
      <c r="E100" s="1" t="s">
        <v>2063</v>
      </c>
      <c r="F100" s="4"/>
      <c r="G100" s="4"/>
      <c r="H100" s="246"/>
    </row>
    <row r="101" spans="1:8" s="1" customFormat="1" x14ac:dyDescent="0.2">
      <c r="A101" s="4"/>
      <c r="B101" s="4"/>
      <c r="C101" s="1" t="s">
        <v>2064</v>
      </c>
      <c r="D101" s="4"/>
      <c r="E101" s="1" t="s">
        <v>2064</v>
      </c>
      <c r="F101" s="4"/>
      <c r="G101" s="4"/>
      <c r="H101" s="246"/>
    </row>
    <row r="102" spans="1:8" s="1" customFormat="1" ht="17" thickBot="1" x14ac:dyDescent="0.25">
      <c r="A102" s="4"/>
      <c r="B102" s="4"/>
      <c r="D102" s="4"/>
      <c r="F102" s="4"/>
      <c r="G102" s="4"/>
      <c r="H102" s="246"/>
    </row>
    <row r="103" spans="1:8" s="1" customFormat="1" x14ac:dyDescent="0.2">
      <c r="A103" s="97" t="s">
        <v>1994</v>
      </c>
      <c r="B103" s="113"/>
      <c r="C103" s="113"/>
      <c r="D103" s="113"/>
      <c r="E103" s="113"/>
      <c r="F103" s="113"/>
      <c r="G103" s="113"/>
      <c r="H103" s="250"/>
    </row>
    <row r="104" spans="1:8" s="1" customFormat="1" x14ac:dyDescent="0.2">
      <c r="A104" s="41" t="s">
        <v>1988</v>
      </c>
      <c r="B104" s="4"/>
      <c r="C104" s="4"/>
      <c r="D104" s="4"/>
      <c r="E104" s="4"/>
      <c r="F104" s="4"/>
      <c r="G104" s="4"/>
      <c r="H104" s="251"/>
    </row>
    <row r="105" spans="1:8" s="1" customFormat="1" x14ac:dyDescent="0.2">
      <c r="A105" s="41" t="s">
        <v>1986</v>
      </c>
      <c r="B105" s="4"/>
      <c r="C105" s="4"/>
      <c r="D105" s="4"/>
      <c r="E105" s="4"/>
      <c r="F105" s="4"/>
      <c r="G105" s="4"/>
      <c r="H105" s="251"/>
    </row>
    <row r="106" spans="1:8" s="1" customFormat="1" ht="17" thickBot="1" x14ac:dyDescent="0.25">
      <c r="A106" s="43" t="s">
        <v>1987</v>
      </c>
      <c r="B106" s="115"/>
      <c r="C106" s="115"/>
      <c r="D106" s="115"/>
      <c r="E106" s="115"/>
      <c r="F106" s="115"/>
      <c r="G106" s="115"/>
      <c r="H106" s="252"/>
    </row>
    <row r="107" spans="1:8" s="1" customFormat="1" x14ac:dyDescent="0.2">
      <c r="B107" s="4"/>
      <c r="C107" s="4"/>
      <c r="D107" s="4"/>
      <c r="E107" s="4"/>
      <c r="F107" s="4"/>
      <c r="G107" s="4"/>
      <c r="H107" s="246"/>
    </row>
    <row r="108" spans="1:8" s="1" customFormat="1" x14ac:dyDescent="0.2">
      <c r="A108" s="4"/>
      <c r="B108" s="4"/>
      <c r="C108" s="4"/>
      <c r="D108" s="4"/>
      <c r="E108" s="342" t="s">
        <v>2068</v>
      </c>
      <c r="F108" s="342"/>
      <c r="G108" s="4" t="s">
        <v>2067</v>
      </c>
      <c r="H108" s="246"/>
    </row>
    <row r="109" spans="1:8" s="1" customFormat="1" x14ac:dyDescent="0.2">
      <c r="A109" s="1" t="s">
        <v>2024</v>
      </c>
      <c r="B109" s="4"/>
      <c r="C109" s="4"/>
      <c r="D109" s="4"/>
      <c r="E109" s="4"/>
      <c r="F109" s="4"/>
      <c r="G109" s="4"/>
      <c r="H109" s="246"/>
    </row>
    <row r="110" spans="1:8" s="1" customFormat="1" x14ac:dyDescent="0.2">
      <c r="B110" s="4"/>
      <c r="C110" s="4"/>
      <c r="D110" s="4"/>
      <c r="E110" s="4"/>
      <c r="F110" s="4"/>
      <c r="G110" s="4"/>
      <c r="H110" s="246" t="s">
        <v>2075</v>
      </c>
    </row>
    <row r="111" spans="1:8" s="1" customFormat="1" x14ac:dyDescent="0.2">
      <c r="B111" s="4"/>
      <c r="C111" s="4"/>
      <c r="D111" s="4"/>
      <c r="E111" s="4"/>
      <c r="F111" s="4"/>
      <c r="G111" s="4"/>
      <c r="H111" s="246"/>
    </row>
    <row r="112" spans="1:8" s="1" customFormat="1" x14ac:dyDescent="0.2">
      <c r="B112" s="4"/>
      <c r="C112" s="4"/>
      <c r="D112" s="4"/>
      <c r="E112" s="1" t="s">
        <v>1017</v>
      </c>
      <c r="F112" s="4"/>
      <c r="G112" s="4"/>
      <c r="H112" s="246"/>
    </row>
    <row r="113" spans="1:8" s="1" customFormat="1" x14ac:dyDescent="0.2">
      <c r="B113" s="4"/>
      <c r="C113" s="4"/>
      <c r="D113" s="4"/>
      <c r="E113" s="1" t="s">
        <v>301</v>
      </c>
      <c r="F113" s="4"/>
      <c r="G113" s="1" t="s">
        <v>1017</v>
      </c>
      <c r="H113" s="283" t="s">
        <v>2069</v>
      </c>
    </row>
    <row r="114" spans="1:8" s="1" customFormat="1" x14ac:dyDescent="0.2">
      <c r="B114" s="4"/>
      <c r="C114" s="4"/>
      <c r="D114" s="4"/>
      <c r="E114" s="1" t="s">
        <v>2074</v>
      </c>
      <c r="F114" s="4"/>
      <c r="G114" s="4"/>
      <c r="H114" s="283" t="s">
        <v>2070</v>
      </c>
    </row>
    <row r="115" spans="1:8" s="1" customFormat="1" x14ac:dyDescent="0.2">
      <c r="B115" s="4"/>
      <c r="C115" s="4"/>
      <c r="D115" s="4"/>
      <c r="E115" s="4"/>
      <c r="F115" s="1" t="s">
        <v>2073</v>
      </c>
      <c r="G115" s="1" t="s">
        <v>2071</v>
      </c>
      <c r="H115" s="283"/>
    </row>
    <row r="116" spans="1:8" s="1" customFormat="1" x14ac:dyDescent="0.2">
      <c r="B116" s="4"/>
      <c r="C116" s="4"/>
      <c r="D116" s="4"/>
      <c r="E116" s="4"/>
      <c r="F116" s="4"/>
      <c r="G116" s="1" t="s">
        <v>2072</v>
      </c>
      <c r="H116" s="283"/>
    </row>
    <row r="117" spans="1:8" s="1" customFormat="1" x14ac:dyDescent="0.2">
      <c r="B117" s="4"/>
      <c r="C117" s="4"/>
      <c r="D117" s="4"/>
      <c r="E117" s="4"/>
      <c r="F117" s="4"/>
      <c r="G117" s="4"/>
      <c r="H117" s="283"/>
    </row>
    <row r="118" spans="1:8" s="1" customFormat="1" x14ac:dyDescent="0.2">
      <c r="A118" s="1" t="s">
        <v>2025</v>
      </c>
      <c r="B118" s="4"/>
      <c r="C118" s="4"/>
      <c r="D118" s="4"/>
      <c r="E118" s="4"/>
      <c r="F118" s="4"/>
      <c r="G118" s="4"/>
      <c r="H118" s="246"/>
    </row>
    <row r="119" spans="1:8" s="1" customFormat="1" x14ac:dyDescent="0.2">
      <c r="B119" s="4"/>
      <c r="C119" s="4"/>
      <c r="D119" s="4"/>
      <c r="E119" s="4"/>
      <c r="F119" s="4"/>
      <c r="G119" s="4"/>
      <c r="H119" s="246" t="s">
        <v>2076</v>
      </c>
    </row>
    <row r="120" spans="1:8" s="1" customFormat="1" x14ac:dyDescent="0.2">
      <c r="A120" s="1" t="s">
        <v>2029</v>
      </c>
      <c r="B120" s="4"/>
      <c r="C120" s="4"/>
      <c r="D120" s="4"/>
      <c r="E120" s="4"/>
      <c r="F120" s="4"/>
      <c r="G120" s="4"/>
      <c r="H120" s="246"/>
    </row>
    <row r="121" spans="1:8" s="1" customFormat="1" x14ac:dyDescent="0.2">
      <c r="B121" s="4"/>
      <c r="C121" s="4"/>
      <c r="D121" s="4"/>
      <c r="E121" s="4"/>
      <c r="F121" s="4"/>
      <c r="G121" s="4"/>
      <c r="H121" s="246" t="s">
        <v>2026</v>
      </c>
    </row>
    <row r="122" spans="1:8" s="1" customFormat="1" x14ac:dyDescent="0.2">
      <c r="A122" s="1" t="s">
        <v>2027</v>
      </c>
      <c r="B122" s="4"/>
      <c r="C122" s="4"/>
      <c r="D122" s="4"/>
      <c r="E122" s="4"/>
      <c r="F122" s="4"/>
      <c r="G122" s="4"/>
      <c r="H122" s="246"/>
    </row>
    <row r="123" spans="1:8" s="1" customFormat="1" x14ac:dyDescent="0.2">
      <c r="B123" s="4"/>
      <c r="C123" s="4"/>
      <c r="D123" s="4"/>
      <c r="E123" s="4"/>
      <c r="F123" s="4"/>
      <c r="G123" s="4"/>
      <c r="H123" s="4" t="s">
        <v>2028</v>
      </c>
    </row>
    <row r="124" spans="1:8" s="1" customFormat="1" x14ac:dyDescent="0.2">
      <c r="A124" s="1" t="s">
        <v>2030</v>
      </c>
      <c r="B124" s="4"/>
      <c r="C124" s="4"/>
      <c r="D124" s="4"/>
      <c r="E124" s="4"/>
      <c r="F124" s="4"/>
      <c r="G124" s="4"/>
      <c r="H124" s="246"/>
    </row>
    <row r="125" spans="1:8" s="1" customFormat="1" x14ac:dyDescent="0.2">
      <c r="A125" s="1" t="s">
        <v>2031</v>
      </c>
      <c r="B125" s="4"/>
      <c r="C125" s="4"/>
      <c r="D125" s="4"/>
      <c r="E125" s="4"/>
      <c r="F125" s="4"/>
      <c r="G125" s="4"/>
      <c r="H125" s="246"/>
    </row>
    <row r="126" spans="1:8" s="1" customFormat="1" x14ac:dyDescent="0.2">
      <c r="B126" s="4"/>
      <c r="C126" s="4"/>
      <c r="D126" s="4"/>
      <c r="E126" s="4"/>
      <c r="F126" s="4"/>
      <c r="G126" s="4"/>
      <c r="H126" s="246"/>
    </row>
    <row r="127" spans="1:8" s="1" customFormat="1" x14ac:dyDescent="0.2">
      <c r="A127" s="117" t="s">
        <v>667</v>
      </c>
      <c r="B127" s="117"/>
      <c r="C127" s="117"/>
      <c r="D127" s="117"/>
      <c r="E127" s="117"/>
      <c r="F127" s="117"/>
      <c r="G127" s="117" t="s">
        <v>1997</v>
      </c>
      <c r="H127" s="117"/>
    </row>
    <row r="128" spans="1:8" x14ac:dyDescent="0.2">
      <c r="A128" s="1" t="s">
        <v>2077</v>
      </c>
    </row>
    <row r="129" spans="1:4" x14ac:dyDescent="0.2">
      <c r="A129" s="1" t="s">
        <v>1998</v>
      </c>
    </row>
    <row r="130" spans="1:4" x14ac:dyDescent="0.2">
      <c r="A130" s="1" t="s">
        <v>1999</v>
      </c>
    </row>
    <row r="131" spans="1:4" x14ac:dyDescent="0.2">
      <c r="A131" s="1" t="s">
        <v>2002</v>
      </c>
    </row>
    <row r="132" spans="1:4" x14ac:dyDescent="0.2">
      <c r="A132" s="1" t="s">
        <v>2000</v>
      </c>
    </row>
    <row r="133" spans="1:4" x14ac:dyDescent="0.2">
      <c r="A133" s="1"/>
    </row>
    <row r="134" spans="1:4" x14ac:dyDescent="0.2">
      <c r="A134" s="1" t="s">
        <v>2001</v>
      </c>
    </row>
    <row r="135" spans="1:4" x14ac:dyDescent="0.2">
      <c r="A135" s="1" t="s">
        <v>2003</v>
      </c>
    </row>
    <row r="136" spans="1:4" x14ac:dyDescent="0.2">
      <c r="A136" s="1" t="s">
        <v>2004</v>
      </c>
      <c r="C136" s="21"/>
      <c r="D136" s="21"/>
    </row>
    <row r="137" spans="1:4" x14ac:dyDescent="0.2">
      <c r="A137" s="1" t="s">
        <v>2005</v>
      </c>
      <c r="C137" s="21"/>
      <c r="D137" s="21"/>
    </row>
    <row r="138" spans="1:4" x14ac:dyDescent="0.2">
      <c r="A138" s="1" t="s">
        <v>2006</v>
      </c>
      <c r="C138" s="21"/>
      <c r="D138" s="21"/>
    </row>
    <row r="139" spans="1:4" x14ac:dyDescent="0.2">
      <c r="A139" s="1" t="s">
        <v>2007</v>
      </c>
      <c r="C139" s="21"/>
      <c r="D139" s="21"/>
    </row>
    <row r="140" spans="1:4" x14ac:dyDescent="0.2">
      <c r="A140" s="1" t="s">
        <v>2008</v>
      </c>
      <c r="C140" s="21"/>
      <c r="D140" s="21"/>
    </row>
    <row r="141" spans="1:4" x14ac:dyDescent="0.2">
      <c r="A141" s="1" t="s">
        <v>2009</v>
      </c>
    </row>
    <row r="143" spans="1:4" x14ac:dyDescent="0.2">
      <c r="A143" s="1" t="s">
        <v>78</v>
      </c>
    </row>
    <row r="144" spans="1:4" ht="17" thickBot="1" x14ac:dyDescent="0.25"/>
    <row r="145" spans="1:8" x14ac:dyDescent="0.2">
      <c r="A145" s="46" t="s">
        <v>2001</v>
      </c>
      <c r="B145" s="275"/>
      <c r="C145" s="275"/>
      <c r="D145" s="275"/>
      <c r="E145" s="275"/>
      <c r="F145" s="275"/>
      <c r="G145" s="275"/>
      <c r="H145" s="276"/>
    </row>
    <row r="146" spans="1:8" ht="17" thickBot="1" x14ac:dyDescent="0.25">
      <c r="A146" s="110" t="s">
        <v>2003</v>
      </c>
      <c r="B146" s="277"/>
      <c r="C146" s="277"/>
      <c r="D146" s="277"/>
      <c r="E146" s="277"/>
      <c r="F146" s="277"/>
      <c r="G146" s="277"/>
      <c r="H146" s="278"/>
    </row>
    <row r="147" spans="1:8" x14ac:dyDescent="0.2">
      <c r="A147" s="4"/>
      <c r="B147" s="279"/>
      <c r="C147" s="279"/>
      <c r="D147" s="279"/>
      <c r="E147" s="279"/>
      <c r="F147" s="279"/>
      <c r="G147" s="279"/>
      <c r="H147" s="279"/>
    </row>
    <row r="148" spans="1:8" x14ac:dyDescent="0.2">
      <c r="A148" s="1" t="s">
        <v>2032</v>
      </c>
    </row>
    <row r="149" spans="1:8" x14ac:dyDescent="0.2">
      <c r="A149" s="1" t="s">
        <v>2033</v>
      </c>
    </row>
    <row r="150" spans="1:8" x14ac:dyDescent="0.2">
      <c r="A150" s="1" t="s">
        <v>2078</v>
      </c>
    </row>
    <row r="151" spans="1:8" x14ac:dyDescent="0.2">
      <c r="D151" s="21" t="s">
        <v>2034</v>
      </c>
      <c r="E151" s="1" t="s">
        <v>2079</v>
      </c>
      <c r="F151" s="1"/>
      <c r="G151" s="1"/>
    </row>
    <row r="152" spans="1:8" x14ac:dyDescent="0.2">
      <c r="D152" s="21" t="s">
        <v>2035</v>
      </c>
      <c r="E152" s="1" t="s">
        <v>2080</v>
      </c>
      <c r="F152" s="1"/>
      <c r="G152" s="1"/>
    </row>
    <row r="153" spans="1:8" ht="17" thickBot="1" x14ac:dyDescent="0.25"/>
    <row r="154" spans="1:8" ht="17" thickBot="1" x14ac:dyDescent="0.25">
      <c r="A154" s="5" t="s">
        <v>2004</v>
      </c>
      <c r="B154" s="253"/>
      <c r="C154" s="253"/>
      <c r="D154" s="253"/>
      <c r="E154" s="253"/>
      <c r="F154" s="253"/>
      <c r="G154" s="253"/>
      <c r="H154" s="254"/>
    </row>
    <row r="156" spans="1:8" x14ac:dyDescent="0.2">
      <c r="B156" s="14" t="s">
        <v>1637</v>
      </c>
      <c r="C156" s="14" t="s">
        <v>1586</v>
      </c>
    </row>
    <row r="157" spans="1:8" x14ac:dyDescent="0.2">
      <c r="A157" s="14"/>
      <c r="B157" s="14" t="s">
        <v>1633</v>
      </c>
      <c r="C157" s="14" t="s">
        <v>280</v>
      </c>
      <c r="D157" s="14" t="s">
        <v>1341</v>
      </c>
    </row>
    <row r="158" spans="1:8" x14ac:dyDescent="0.2">
      <c r="A158" s="14" t="s">
        <v>71</v>
      </c>
      <c r="B158" s="14" t="s">
        <v>2034</v>
      </c>
      <c r="C158" s="14" t="s">
        <v>2035</v>
      </c>
      <c r="D158" s="14" t="s">
        <v>280</v>
      </c>
    </row>
    <row r="159" spans="1:8" x14ac:dyDescent="0.2">
      <c r="A159" s="14">
        <v>40</v>
      </c>
      <c r="B159" s="34">
        <f>IF(A159&lt;50,50-A159-20,-20)</f>
        <v>-10</v>
      </c>
      <c r="C159" s="34">
        <f>-IF(A159&lt;30,30-A159-5,-5)</f>
        <v>5</v>
      </c>
      <c r="D159" s="34">
        <f>B159+C159</f>
        <v>-5</v>
      </c>
    </row>
    <row r="160" spans="1:8" x14ac:dyDescent="0.2">
      <c r="A160" s="14">
        <f>A159+10</f>
        <v>50</v>
      </c>
      <c r="B160" s="34">
        <f t="shared" ref="B160:B170" si="4">IF(A160&lt;50,50-A160-20,-20)</f>
        <v>-20</v>
      </c>
      <c r="C160" s="34">
        <f t="shared" ref="C160:C170" si="5">-IF(A160&lt;30,30-A160-5,-5)</f>
        <v>5</v>
      </c>
      <c r="D160" s="34">
        <f t="shared" ref="D160:D170" si="6">B160+C160</f>
        <v>-15</v>
      </c>
    </row>
    <row r="161" spans="1:8" x14ac:dyDescent="0.2">
      <c r="A161" s="14">
        <f t="shared" ref="A161:A170" si="7">A160+10</f>
        <v>60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70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80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90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100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110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120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x14ac:dyDescent="0.2">
      <c r="A168" s="14">
        <f t="shared" si="7"/>
        <v>130</v>
      </c>
      <c r="B168" s="34">
        <f t="shared" si="4"/>
        <v>-20</v>
      </c>
      <c r="C168" s="34">
        <f t="shared" si="5"/>
        <v>5</v>
      </c>
      <c r="D168" s="34">
        <f t="shared" si="6"/>
        <v>-15</v>
      </c>
    </row>
    <row r="169" spans="1:8" x14ac:dyDescent="0.2">
      <c r="A169" s="14">
        <f t="shared" si="7"/>
        <v>140</v>
      </c>
      <c r="B169" s="34">
        <f t="shared" si="4"/>
        <v>-20</v>
      </c>
      <c r="C169" s="34">
        <f t="shared" si="5"/>
        <v>5</v>
      </c>
      <c r="D169" s="34">
        <f t="shared" si="6"/>
        <v>-15</v>
      </c>
    </row>
    <row r="170" spans="1:8" x14ac:dyDescent="0.2">
      <c r="A170" s="14">
        <f t="shared" si="7"/>
        <v>150</v>
      </c>
      <c r="B170" s="34">
        <f t="shared" si="4"/>
        <v>-20</v>
      </c>
      <c r="C170" s="34">
        <f t="shared" si="5"/>
        <v>5</v>
      </c>
      <c r="D170" s="34">
        <f t="shared" si="6"/>
        <v>-15</v>
      </c>
    </row>
    <row r="171" spans="1:8" ht="17" thickBot="1" x14ac:dyDescent="0.25"/>
    <row r="172" spans="1:8" ht="17" thickBot="1" x14ac:dyDescent="0.25">
      <c r="A172" s="5" t="s">
        <v>2005</v>
      </c>
      <c r="B172" s="253"/>
      <c r="C172" s="253"/>
      <c r="D172" s="253"/>
      <c r="E172" s="253"/>
      <c r="F172" s="253"/>
      <c r="G172" s="253"/>
      <c r="H172" s="254"/>
    </row>
    <row r="174" spans="1:8" x14ac:dyDescent="0.2">
      <c r="A174" s="1" t="s">
        <v>2036</v>
      </c>
    </row>
    <row r="175" spans="1:8" x14ac:dyDescent="0.2">
      <c r="A175" s="1" t="s">
        <v>2037</v>
      </c>
    </row>
    <row r="176" spans="1:8" x14ac:dyDescent="0.2">
      <c r="A176" s="1" t="s">
        <v>2038</v>
      </c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 t="s">
        <v>280</v>
      </c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 t="s">
        <v>71</v>
      </c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x14ac:dyDescent="0.2">
      <c r="A191" s="1"/>
      <c r="B191" s="1"/>
      <c r="C191" s="1"/>
      <c r="D191" s="1"/>
      <c r="E191" s="1"/>
      <c r="F191" s="1"/>
      <c r="G191" s="1"/>
      <c r="H191" s="1"/>
    </row>
    <row r="192" spans="1:8" x14ac:dyDescent="0.2">
      <c r="A192" s="1"/>
      <c r="B192" s="1"/>
      <c r="C192" s="1"/>
      <c r="D192" s="1"/>
      <c r="E192" s="1"/>
      <c r="F192" s="1"/>
      <c r="G192" s="1"/>
      <c r="H192" s="1"/>
    </row>
    <row r="193" spans="1:8" x14ac:dyDescent="0.2">
      <c r="A193" s="1"/>
      <c r="B193" s="1"/>
      <c r="C193" s="1"/>
      <c r="D193" s="1"/>
      <c r="E193" s="1"/>
      <c r="F193" s="1"/>
      <c r="G193" s="1"/>
      <c r="H193" s="1"/>
    </row>
    <row r="194" spans="1:8" ht="17" thickBot="1" x14ac:dyDescent="0.25">
      <c r="A194" s="1"/>
      <c r="B194" s="1"/>
      <c r="C194" s="1"/>
      <c r="D194" s="1"/>
      <c r="E194" s="1"/>
      <c r="F194" s="1"/>
      <c r="G194" s="1"/>
      <c r="H194" s="1"/>
    </row>
    <row r="195" spans="1:8" s="1" customFormat="1" x14ac:dyDescent="0.2">
      <c r="A195" s="46" t="s">
        <v>2006</v>
      </c>
      <c r="B195" s="113"/>
      <c r="C195" s="113"/>
      <c r="D195" s="113"/>
      <c r="E195" s="113"/>
      <c r="F195" s="113"/>
      <c r="G195" s="113"/>
      <c r="H195" s="250"/>
    </row>
    <row r="196" spans="1:8" s="1" customFormat="1" ht="17" thickBot="1" x14ac:dyDescent="0.25">
      <c r="A196" s="110" t="s">
        <v>2007</v>
      </c>
      <c r="B196" s="115"/>
      <c r="C196" s="115"/>
      <c r="D196" s="115"/>
      <c r="E196" s="115"/>
      <c r="F196" s="115"/>
      <c r="G196" s="115"/>
      <c r="H196" s="252"/>
    </row>
    <row r="197" spans="1:8" s="1" customFormat="1" x14ac:dyDescent="0.2">
      <c r="A197" s="62" t="s">
        <v>2039</v>
      </c>
      <c r="B197" s="4"/>
      <c r="C197" s="4"/>
      <c r="D197" s="4"/>
      <c r="E197" s="4"/>
      <c r="F197" s="4"/>
      <c r="G197" s="4"/>
      <c r="H197" s="246"/>
    </row>
    <row r="198" spans="1:8" s="1" customFormat="1" x14ac:dyDescent="0.2">
      <c r="A198" s="62" t="s">
        <v>2040</v>
      </c>
      <c r="B198" s="4"/>
      <c r="C198" s="4"/>
      <c r="D198" s="4"/>
      <c r="E198" s="4"/>
      <c r="F198" s="4"/>
      <c r="G198" s="4"/>
      <c r="H198" s="246"/>
    </row>
    <row r="199" spans="1:8" s="1" customFormat="1" x14ac:dyDescent="0.2">
      <c r="A199" s="62" t="s">
        <v>2081</v>
      </c>
      <c r="B199" s="4"/>
      <c r="C199" s="4"/>
      <c r="D199" s="4"/>
      <c r="E199" s="4"/>
      <c r="F199" s="4"/>
      <c r="G199" s="4"/>
      <c r="H199" s="246"/>
    </row>
    <row r="200" spans="1:8" s="1" customFormat="1" x14ac:dyDescent="0.2">
      <c r="A200" s="62" t="s">
        <v>2041</v>
      </c>
      <c r="B200" s="4"/>
      <c r="C200" s="4"/>
      <c r="D200" s="4"/>
      <c r="E200" s="4"/>
      <c r="F200" s="4"/>
      <c r="G200" s="4"/>
      <c r="H200" s="246"/>
    </row>
    <row r="201" spans="1:8" s="1" customFormat="1" x14ac:dyDescent="0.2">
      <c r="A201" s="62" t="s">
        <v>2042</v>
      </c>
      <c r="B201" s="4"/>
      <c r="C201" s="4"/>
      <c r="D201" s="4"/>
      <c r="E201" s="4"/>
      <c r="F201" s="4"/>
      <c r="G201" s="4"/>
      <c r="H201" s="246"/>
    </row>
    <row r="202" spans="1:8" s="1" customFormat="1" x14ac:dyDescent="0.2">
      <c r="A202" s="62"/>
      <c r="B202" s="4"/>
      <c r="C202" s="4"/>
      <c r="D202" s="4"/>
      <c r="E202" s="4"/>
      <c r="F202" s="4"/>
      <c r="G202" s="4"/>
      <c r="H202" s="246"/>
    </row>
    <row r="203" spans="1:8" s="1" customFormat="1" x14ac:dyDescent="0.2">
      <c r="A203" s="62" t="s">
        <v>2083</v>
      </c>
      <c r="B203" s="4"/>
      <c r="C203" s="4"/>
      <c r="D203" s="4"/>
      <c r="E203" s="4"/>
      <c r="F203" s="4"/>
      <c r="G203" s="4"/>
      <c r="H203" s="246"/>
    </row>
    <row r="204" spans="1:8" s="1" customFormat="1" ht="17" thickBot="1" x14ac:dyDescent="0.25">
      <c r="A204" s="165"/>
      <c r="B204" s="4"/>
      <c r="C204" s="4"/>
      <c r="D204" s="4"/>
      <c r="E204" s="4"/>
      <c r="F204" s="4"/>
      <c r="G204" s="4"/>
      <c r="H204" s="246"/>
    </row>
    <row r="205" spans="1:8" s="1" customFormat="1" x14ac:dyDescent="0.2">
      <c r="A205" s="46" t="s">
        <v>2008</v>
      </c>
      <c r="B205" s="113"/>
      <c r="C205" s="113"/>
      <c r="D205" s="113"/>
      <c r="E205" s="113"/>
      <c r="F205" s="113"/>
      <c r="G205" s="113"/>
      <c r="H205" s="250"/>
    </row>
    <row r="206" spans="1:8" s="1" customFormat="1" ht="17" thickBot="1" x14ac:dyDescent="0.25">
      <c r="A206" s="110" t="s">
        <v>2009</v>
      </c>
      <c r="B206" s="115"/>
      <c r="C206" s="115"/>
      <c r="D206" s="115"/>
      <c r="E206" s="115"/>
      <c r="F206" s="115"/>
      <c r="G206" s="115"/>
      <c r="H206" s="252"/>
    </row>
    <row r="207" spans="1:8" s="1" customFormat="1" x14ac:dyDescent="0.2">
      <c r="A207" s="62" t="s">
        <v>2043</v>
      </c>
      <c r="B207" s="4"/>
      <c r="C207" s="4"/>
      <c r="D207" s="4"/>
      <c r="E207" s="4"/>
      <c r="F207" s="4"/>
      <c r="G207" s="4"/>
      <c r="H207" s="246"/>
    </row>
    <row r="208" spans="1:8" s="1" customFormat="1" x14ac:dyDescent="0.2">
      <c r="A208" s="62" t="s">
        <v>2084</v>
      </c>
      <c r="B208" s="4"/>
      <c r="C208" s="4"/>
      <c r="D208" s="4"/>
      <c r="E208" s="4"/>
      <c r="F208" s="4"/>
      <c r="G208" s="4"/>
      <c r="H208" s="246"/>
    </row>
    <row r="209" spans="1:8" s="1" customFormat="1" x14ac:dyDescent="0.2">
      <c r="A209" s="62" t="s">
        <v>2044</v>
      </c>
      <c r="B209" s="4"/>
      <c r="C209" s="4"/>
      <c r="D209" s="4"/>
      <c r="E209" s="4"/>
      <c r="F209" s="4"/>
      <c r="G209" s="4"/>
      <c r="H209" s="246"/>
    </row>
    <row r="210" spans="1:8" s="1" customFormat="1" x14ac:dyDescent="0.2">
      <c r="A210" s="62" t="s">
        <v>2045</v>
      </c>
      <c r="B210" s="4"/>
      <c r="C210" s="4"/>
      <c r="D210" s="4"/>
      <c r="E210" s="4"/>
      <c r="F210" s="4"/>
      <c r="G210" s="4"/>
      <c r="H210" s="246"/>
    </row>
    <row r="211" spans="1:8" s="1" customFormat="1" x14ac:dyDescent="0.2">
      <c r="A211" s="165"/>
      <c r="B211" s="4"/>
      <c r="C211" s="4"/>
      <c r="D211" s="4"/>
      <c r="E211" s="4"/>
      <c r="F211" s="4"/>
      <c r="G211" s="4"/>
      <c r="H211" s="246"/>
    </row>
    <row r="212" spans="1:8" s="1" customFormat="1" x14ac:dyDescent="0.2">
      <c r="A212" s="117" t="s">
        <v>669</v>
      </c>
      <c r="B212" s="117"/>
      <c r="C212" s="117"/>
      <c r="D212" s="117"/>
      <c r="E212" s="117" t="s">
        <v>2013</v>
      </c>
      <c r="F212" s="117"/>
      <c r="G212" s="117"/>
      <c r="H212" s="117"/>
    </row>
    <row r="213" spans="1:8" s="1" customFormat="1" x14ac:dyDescent="0.2">
      <c r="A213" s="1" t="s">
        <v>757</v>
      </c>
    </row>
    <row r="214" spans="1:8" s="1" customFormat="1" x14ac:dyDescent="0.2">
      <c r="A214" s="1" t="s">
        <v>758</v>
      </c>
    </row>
    <row r="215" spans="1:8" s="1" customFormat="1" x14ac:dyDescent="0.2">
      <c r="A215" s="1" t="s">
        <v>759</v>
      </c>
    </row>
    <row r="216" spans="1:8" s="1" customFormat="1" x14ac:dyDescent="0.2">
      <c r="A216" s="1" t="s">
        <v>763</v>
      </c>
      <c r="G216" s="13"/>
    </row>
    <row r="217" spans="1:8" s="1" customFormat="1" x14ac:dyDescent="0.2">
      <c r="A217" s="1" t="s">
        <v>760</v>
      </c>
      <c r="G217" s="13"/>
    </row>
    <row r="218" spans="1:8" s="1" customFormat="1" x14ac:dyDescent="0.2">
      <c r="G218" s="13"/>
    </row>
    <row r="219" spans="1:8" s="1" customFormat="1" x14ac:dyDescent="0.2">
      <c r="C219" s="119" t="s">
        <v>389</v>
      </c>
      <c r="D219" s="119" t="s">
        <v>538</v>
      </c>
    </row>
    <row r="220" spans="1:8" s="1" customFormat="1" x14ac:dyDescent="0.2">
      <c r="C220" s="120" t="s">
        <v>761</v>
      </c>
      <c r="D220" s="120">
        <v>100</v>
      </c>
    </row>
    <row r="221" spans="1:8" s="1" customFormat="1" x14ac:dyDescent="0.2">
      <c r="C221" s="120" t="s">
        <v>762</v>
      </c>
      <c r="D221" s="120">
        <v>300</v>
      </c>
    </row>
    <row r="222" spans="1:8" x14ac:dyDescent="0.2">
      <c r="C222" s="21" t="s">
        <v>764</v>
      </c>
      <c r="D222" s="21">
        <v>400</v>
      </c>
    </row>
    <row r="223" spans="1:8" x14ac:dyDescent="0.2">
      <c r="C223" s="21" t="s">
        <v>765</v>
      </c>
      <c r="D223" s="21">
        <v>800</v>
      </c>
    </row>
    <row r="225" spans="1:8" x14ac:dyDescent="0.2">
      <c r="A225" s="1" t="s">
        <v>766</v>
      </c>
    </row>
    <row r="226" spans="1:8" x14ac:dyDescent="0.2">
      <c r="A226" s="1" t="s">
        <v>767</v>
      </c>
    </row>
    <row r="227" spans="1:8" x14ac:dyDescent="0.2">
      <c r="A227" s="1" t="s">
        <v>768</v>
      </c>
    </row>
    <row r="228" spans="1:8" x14ac:dyDescent="0.2">
      <c r="A228" s="13" t="s">
        <v>1995</v>
      </c>
    </row>
    <row r="229" spans="1:8" x14ac:dyDescent="0.2">
      <c r="A229" s="13" t="s">
        <v>1996</v>
      </c>
    </row>
    <row r="230" spans="1:8" x14ac:dyDescent="0.2">
      <c r="A230" s="1" t="s">
        <v>769</v>
      </c>
    </row>
    <row r="231" spans="1:8" x14ac:dyDescent="0.2">
      <c r="A231" s="1" t="s">
        <v>770</v>
      </c>
    </row>
    <row r="232" spans="1:8" ht="17" thickBot="1" x14ac:dyDescent="0.25"/>
    <row r="233" spans="1:8" ht="17" thickBot="1" x14ac:dyDescent="0.25">
      <c r="A233" s="5" t="s">
        <v>78</v>
      </c>
      <c r="B233" s="271"/>
      <c r="C233" s="271"/>
      <c r="D233" s="271"/>
      <c r="E233" s="271"/>
      <c r="F233" s="271"/>
      <c r="G233" s="271"/>
      <c r="H233" s="272"/>
    </row>
    <row r="235" spans="1:8" x14ac:dyDescent="0.2">
      <c r="A235" s="1" t="s">
        <v>784</v>
      </c>
    </row>
    <row r="236" spans="1:8" x14ac:dyDescent="0.2">
      <c r="A236" s="1" t="s">
        <v>782</v>
      </c>
    </row>
    <row r="237" spans="1:8" x14ac:dyDescent="0.2">
      <c r="A237" s="1" t="s">
        <v>783</v>
      </c>
    </row>
    <row r="238" spans="1:8" x14ac:dyDescent="0.2">
      <c r="A238" s="1" t="s">
        <v>785</v>
      </c>
    </row>
    <row r="239" spans="1:8" x14ac:dyDescent="0.2">
      <c r="A239" s="1" t="s">
        <v>786</v>
      </c>
    </row>
    <row r="240" spans="1:8" x14ac:dyDescent="0.2">
      <c r="A240" s="1" t="s">
        <v>787</v>
      </c>
    </row>
    <row r="241" spans="1:10" x14ac:dyDescent="0.2">
      <c r="A241" s="1" t="s">
        <v>788</v>
      </c>
    </row>
    <row r="243" spans="1:10" x14ac:dyDescent="0.2">
      <c r="A243" s="1" t="s">
        <v>799</v>
      </c>
    </row>
    <row r="244" spans="1:10" x14ac:dyDescent="0.2">
      <c r="A244" s="1" t="s">
        <v>789</v>
      </c>
    </row>
    <row r="245" spans="1:10" x14ac:dyDescent="0.2">
      <c r="A245" s="1" t="s">
        <v>790</v>
      </c>
    </row>
    <row r="246" spans="1:10" x14ac:dyDescent="0.2">
      <c r="A246" s="1" t="s">
        <v>791</v>
      </c>
    </row>
    <row r="247" spans="1:10" x14ac:dyDescent="0.2">
      <c r="A247" s="1" t="s">
        <v>792</v>
      </c>
    </row>
    <row r="248" spans="1:10" x14ac:dyDescent="0.2">
      <c r="A248" s="1" t="s">
        <v>793</v>
      </c>
      <c r="B248" s="1"/>
      <c r="C248" s="1"/>
      <c r="D248" s="1"/>
      <c r="E248" s="1"/>
      <c r="F248" s="1"/>
      <c r="G248" s="1"/>
      <c r="H248" s="1"/>
    </row>
    <row r="249" spans="1:10" x14ac:dyDescent="0.2">
      <c r="A249" s="1"/>
      <c r="B249" s="1" t="s">
        <v>794</v>
      </c>
      <c r="C249" s="1"/>
      <c r="D249" s="1">
        <f>1820*100-300</f>
        <v>181700</v>
      </c>
      <c r="E249" s="1"/>
      <c r="F249" s="1" t="s">
        <v>795</v>
      </c>
      <c r="G249" s="1"/>
      <c r="H249" s="1"/>
    </row>
    <row r="250" spans="1:10" x14ac:dyDescent="0.2">
      <c r="A250" s="1"/>
      <c r="B250" s="1" t="s">
        <v>796</v>
      </c>
      <c r="C250" s="1"/>
      <c r="D250" s="1">
        <f>(1750*100-100)*-1</f>
        <v>-174900</v>
      </c>
      <c r="E250" s="1"/>
      <c r="F250" s="122" t="s">
        <v>797</v>
      </c>
      <c r="G250" s="1"/>
      <c r="H250" s="1"/>
    </row>
    <row r="251" spans="1:10" x14ac:dyDescent="0.2">
      <c r="A251" s="1"/>
      <c r="B251" s="1" t="s">
        <v>798</v>
      </c>
      <c r="C251" s="1"/>
      <c r="D251" s="1">
        <f>D249+D250</f>
        <v>6800</v>
      </c>
      <c r="E251" s="1"/>
      <c r="F251" s="1"/>
      <c r="G251" s="1"/>
      <c r="H251" s="1"/>
    </row>
    <row r="252" spans="1:10" x14ac:dyDescent="0.2">
      <c r="A252" s="1"/>
    </row>
    <row r="253" spans="1:10" x14ac:dyDescent="0.2">
      <c r="A253" s="1" t="s">
        <v>805</v>
      </c>
      <c r="B253" s="1"/>
      <c r="C253" s="1"/>
      <c r="D253" s="1"/>
      <c r="E253" s="1" t="s">
        <v>280</v>
      </c>
      <c r="F253" s="1"/>
      <c r="G253" s="1"/>
      <c r="H253" s="1"/>
      <c r="I253" s="1"/>
      <c r="J253" s="1"/>
    </row>
    <row r="254" spans="1:10" x14ac:dyDescent="0.2">
      <c r="A254" s="1" t="s">
        <v>804</v>
      </c>
      <c r="B254" s="1"/>
      <c r="C254" s="1"/>
      <c r="D254" s="1"/>
      <c r="E254" s="1"/>
      <c r="F254" s="1"/>
      <c r="G254" s="1"/>
      <c r="H254" s="1"/>
      <c r="I254" s="1"/>
      <c r="J254" s="1"/>
    </row>
    <row r="255" spans="1:10" x14ac:dyDescent="0.2">
      <c r="A255" s="1"/>
      <c r="B255" s="1"/>
      <c r="C255" s="1"/>
      <c r="D255" s="1"/>
      <c r="E255" s="1"/>
      <c r="F255" s="1">
        <v>6800</v>
      </c>
      <c r="G255" s="1"/>
      <c r="H255" s="1"/>
      <c r="I255" s="1" t="s">
        <v>819</v>
      </c>
      <c r="J255" s="1"/>
    </row>
    <row r="256" spans="1:10" x14ac:dyDescent="0.2">
      <c r="A256" s="1"/>
      <c r="B256" s="1"/>
      <c r="C256" s="1"/>
      <c r="D256" s="1"/>
      <c r="E256" s="1"/>
      <c r="F256" s="1"/>
      <c r="G256" s="1"/>
      <c r="H256" s="1"/>
      <c r="I256" s="1" t="s">
        <v>820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821</v>
      </c>
      <c r="J257" s="1"/>
    </row>
    <row r="258" spans="1:10" x14ac:dyDescent="0.2">
      <c r="A258" s="1"/>
      <c r="B258" s="1"/>
      <c r="C258" s="1"/>
      <c r="D258" s="1"/>
      <c r="E258" s="1"/>
      <c r="F258" s="1"/>
      <c r="G258" s="1"/>
      <c r="H258" s="1"/>
      <c r="I258" s="1"/>
      <c r="J258" s="1"/>
    </row>
    <row r="259" spans="1:10" x14ac:dyDescent="0.2">
      <c r="A259" s="1"/>
      <c r="B259" s="1"/>
      <c r="C259" s="21" t="s">
        <v>71</v>
      </c>
      <c r="D259" s="1"/>
      <c r="E259" s="1"/>
      <c r="F259" s="1"/>
      <c r="G259" s="1"/>
      <c r="H259" s="1"/>
      <c r="I259" s="1" t="s">
        <v>822</v>
      </c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820</v>
      </c>
      <c r="J260" s="1"/>
    </row>
    <row r="261" spans="1:10" x14ac:dyDescent="0.2">
      <c r="A261" s="1"/>
      <c r="B261" s="1"/>
      <c r="C261" s="1"/>
      <c r="D261" s="1"/>
      <c r="E261" s="1"/>
      <c r="F261" s="1">
        <v>-200</v>
      </c>
      <c r="G261" s="1"/>
      <c r="H261" s="1"/>
      <c r="I261" s="1" t="s">
        <v>823</v>
      </c>
      <c r="J261" s="1"/>
    </row>
    <row r="262" spans="1:10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</row>
    <row r="263" spans="1:10" x14ac:dyDescent="0.2">
      <c r="A263" s="1"/>
      <c r="B263" s="1"/>
      <c r="C263" s="1"/>
      <c r="D263" s="1"/>
      <c r="E263" s="1"/>
      <c r="F263" s="1"/>
      <c r="G263" s="1"/>
      <c r="H263" s="1"/>
      <c r="I263" s="1" t="s">
        <v>824</v>
      </c>
      <c r="J263" s="1"/>
    </row>
    <row r="264" spans="1:10" x14ac:dyDescent="0.2">
      <c r="A264" s="1"/>
      <c r="B264" s="1"/>
      <c r="C264" s="1"/>
      <c r="D264" s="1"/>
      <c r="E264" s="1"/>
      <c r="F264" s="1"/>
      <c r="G264" s="1"/>
      <c r="H264" s="1"/>
      <c r="I264" s="1" t="s">
        <v>825</v>
      </c>
      <c r="J264" s="1">
        <f>1750+68</f>
        <v>1818</v>
      </c>
    </row>
    <row r="266" spans="1:10" x14ac:dyDescent="0.2">
      <c r="A266" s="1" t="s">
        <v>803</v>
      </c>
    </row>
    <row r="267" spans="1:10" x14ac:dyDescent="0.2">
      <c r="A267" s="1" t="s">
        <v>800</v>
      </c>
    </row>
    <row r="268" spans="1:10" x14ac:dyDescent="0.2">
      <c r="A268" s="1" t="s">
        <v>801</v>
      </c>
    </row>
    <row r="269" spans="1:10" x14ac:dyDescent="0.2">
      <c r="A269" s="1" t="s">
        <v>802</v>
      </c>
    </row>
    <row r="272" spans="1:10" s="1" customFormat="1" x14ac:dyDescent="0.2">
      <c r="A272" s="117" t="s">
        <v>671</v>
      </c>
      <c r="B272" s="117"/>
      <c r="C272" s="117"/>
      <c r="D272" s="117"/>
      <c r="E272" s="117"/>
      <c r="F272" s="117"/>
      <c r="G272" s="117" t="s">
        <v>771</v>
      </c>
      <c r="H272" s="117"/>
    </row>
    <row r="273" spans="1:8" s="1" customFormat="1" x14ac:dyDescent="0.2">
      <c r="A273" s="1" t="s">
        <v>772</v>
      </c>
      <c r="G273" s="13"/>
    </row>
    <row r="274" spans="1:8" s="1" customFormat="1" x14ac:dyDescent="0.2">
      <c r="G274" s="13"/>
    </row>
    <row r="275" spans="1:8" s="1" customFormat="1" x14ac:dyDescent="0.2">
      <c r="A275" s="1" t="s">
        <v>766</v>
      </c>
      <c r="G275" s="13"/>
    </row>
    <row r="276" spans="1:8" s="1" customFormat="1" x14ac:dyDescent="0.2">
      <c r="A276" s="1" t="s">
        <v>1991</v>
      </c>
    </row>
    <row r="277" spans="1:8" s="1" customFormat="1" x14ac:dyDescent="0.2">
      <c r="A277" s="1" t="s">
        <v>773</v>
      </c>
    </row>
    <row r="278" spans="1:8" s="1" customFormat="1" x14ac:dyDescent="0.2"/>
    <row r="279" spans="1:8" s="1" customFormat="1" x14ac:dyDescent="0.2">
      <c r="A279" s="21" t="s">
        <v>740</v>
      </c>
      <c r="B279" s="1" t="s">
        <v>774</v>
      </c>
    </row>
    <row r="280" spans="1:8" s="1" customFormat="1" x14ac:dyDescent="0.2">
      <c r="B280" s="1" t="s">
        <v>775</v>
      </c>
    </row>
    <row r="281" spans="1:8" s="1" customFormat="1" x14ac:dyDescent="0.2"/>
    <row r="282" spans="1:8" s="1" customFormat="1" x14ac:dyDescent="0.2">
      <c r="A282" s="4" t="s">
        <v>78</v>
      </c>
    </row>
    <row r="283" spans="1:8" s="1" customFormat="1" ht="17" thickBot="1" x14ac:dyDescent="0.25"/>
    <row r="284" spans="1:8" s="1" customFormat="1" ht="17" thickBot="1" x14ac:dyDescent="0.25">
      <c r="A284" s="273" t="s">
        <v>1991</v>
      </c>
      <c r="B284" s="6"/>
      <c r="C284" s="6"/>
      <c r="D284" s="6"/>
      <c r="E284" s="6"/>
      <c r="F284" s="6"/>
      <c r="G284" s="6"/>
      <c r="H284" s="7"/>
    </row>
    <row r="285" spans="1:8" s="1" customFormat="1" x14ac:dyDescent="0.2"/>
    <row r="286" spans="1:8" s="1" customFormat="1" x14ac:dyDescent="0.2">
      <c r="A286" s="1" t="s">
        <v>2015</v>
      </c>
    </row>
    <row r="287" spans="1:8" s="1" customFormat="1" x14ac:dyDescent="0.2">
      <c r="A287" s="1" t="s">
        <v>2016</v>
      </c>
    </row>
    <row r="288" spans="1:8" s="1" customFormat="1" x14ac:dyDescent="0.2"/>
    <row r="289" spans="1:8" s="1" customFormat="1" x14ac:dyDescent="0.2"/>
    <row r="290" spans="1:8" s="1" customFormat="1" x14ac:dyDescent="0.2">
      <c r="F290" s="1" t="s">
        <v>280</v>
      </c>
    </row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/>
    <row r="295" spans="1:8" s="1" customFormat="1" x14ac:dyDescent="0.2"/>
    <row r="296" spans="1:8" s="1" customFormat="1" x14ac:dyDescent="0.2"/>
    <row r="297" spans="1:8" s="1" customFormat="1" x14ac:dyDescent="0.2">
      <c r="C297" s="1" t="s">
        <v>71</v>
      </c>
    </row>
    <row r="298" spans="1:8" s="1" customFormat="1" x14ac:dyDescent="0.2"/>
    <row r="299" spans="1:8" s="1" customFormat="1" x14ac:dyDescent="0.2"/>
    <row r="300" spans="1:8" s="1" customFormat="1" x14ac:dyDescent="0.2"/>
    <row r="301" spans="1:8" s="1" customFormat="1" x14ac:dyDescent="0.2"/>
    <row r="302" spans="1:8" s="1" customFormat="1" ht="17" thickBot="1" x14ac:dyDescent="0.25"/>
    <row r="303" spans="1:8" s="1" customFormat="1" ht="17" thickBot="1" x14ac:dyDescent="0.25">
      <c r="A303" s="273" t="s">
        <v>773</v>
      </c>
      <c r="B303" s="6"/>
      <c r="C303" s="6"/>
      <c r="D303" s="6"/>
      <c r="E303" s="6"/>
      <c r="F303" s="6"/>
      <c r="G303" s="6"/>
      <c r="H303" s="7"/>
    </row>
    <row r="304" spans="1:8" s="1" customFormat="1" x14ac:dyDescent="0.2">
      <c r="A304" s="1" t="s">
        <v>2017</v>
      </c>
    </row>
    <row r="305" spans="1:8" s="1" customFormat="1" x14ac:dyDescent="0.2">
      <c r="A305" s="1" t="s">
        <v>2018</v>
      </c>
    </row>
    <row r="306" spans="1:8" s="1" customFormat="1" x14ac:dyDescent="0.2">
      <c r="A306" s="1" t="s">
        <v>2019</v>
      </c>
    </row>
    <row r="307" spans="1:8" s="1" customFormat="1" x14ac:dyDescent="0.2">
      <c r="A307" s="1" t="s">
        <v>2020</v>
      </c>
    </row>
    <row r="308" spans="1:8" s="1" customFormat="1" x14ac:dyDescent="0.2"/>
    <row r="309" spans="1:8" s="1" customFormat="1" x14ac:dyDescent="0.2"/>
    <row r="310" spans="1:8" s="1" customFormat="1" x14ac:dyDescent="0.2"/>
    <row r="311" spans="1:8" s="1" customFormat="1" x14ac:dyDescent="0.2">
      <c r="A311" s="117" t="s">
        <v>671</v>
      </c>
      <c r="B311" s="117"/>
      <c r="C311" s="117"/>
      <c r="D311" s="117"/>
      <c r="E311" s="117"/>
      <c r="F311" s="117"/>
      <c r="G311" s="117" t="s">
        <v>776</v>
      </c>
      <c r="H311" s="117"/>
    </row>
    <row r="312" spans="1:8" s="1" customFormat="1" x14ac:dyDescent="0.2">
      <c r="A312" s="1" t="s">
        <v>777</v>
      </c>
    </row>
    <row r="313" spans="1:8" s="1" customFormat="1" x14ac:dyDescent="0.2">
      <c r="A313" s="1" t="s">
        <v>778</v>
      </c>
    </row>
    <row r="314" spans="1:8" s="1" customFormat="1" x14ac:dyDescent="0.2">
      <c r="A314" s="1" t="s">
        <v>766</v>
      </c>
      <c r="G314" s="13"/>
    </row>
    <row r="315" spans="1:8" s="1" customFormat="1" x14ac:dyDescent="0.2">
      <c r="A315" s="1" t="s">
        <v>779</v>
      </c>
      <c r="G315" s="13"/>
    </row>
    <row r="316" spans="1:8" s="1" customFormat="1" x14ac:dyDescent="0.2">
      <c r="A316" s="1" t="s">
        <v>780</v>
      </c>
    </row>
    <row r="317" spans="1:8" s="1" customFormat="1" x14ac:dyDescent="0.2">
      <c r="A317" s="1" t="s">
        <v>781</v>
      </c>
    </row>
    <row r="318" spans="1:8" s="1" customFormat="1" x14ac:dyDescent="0.2"/>
    <row r="319" spans="1:8" s="1" customFormat="1" x14ac:dyDescent="0.2">
      <c r="A319" s="4" t="s">
        <v>78</v>
      </c>
    </row>
    <row r="320" spans="1:8" s="1" customFormat="1" x14ac:dyDescent="0.2"/>
    <row r="321" spans="1:8" s="1" customFormat="1" x14ac:dyDescent="0.2">
      <c r="A321" s="1" t="s">
        <v>806</v>
      </c>
      <c r="B321" s="1" t="s">
        <v>807</v>
      </c>
      <c r="E321" s="1">
        <f>-((1760-1750)*100-2000)</f>
        <v>1000</v>
      </c>
      <c r="H321" s="1" t="str">
        <f ca="1">_xlfn.FORMULATEXT(E321)</f>
        <v>=-((1760-1750)*100-2000)</v>
      </c>
    </row>
    <row r="322" spans="1:8" s="1" customFormat="1" x14ac:dyDescent="0.2">
      <c r="B322" s="1" t="s">
        <v>808</v>
      </c>
      <c r="E322" s="1">
        <f>800</f>
        <v>800</v>
      </c>
      <c r="F322" s="1" t="s">
        <v>811</v>
      </c>
    </row>
    <row r="323" spans="1:8" s="1" customFormat="1" x14ac:dyDescent="0.2">
      <c r="B323" s="1" t="s">
        <v>810</v>
      </c>
      <c r="E323" s="1">
        <f>E321+E322</f>
        <v>1800</v>
      </c>
    </row>
    <row r="324" spans="1:8" s="1" customFormat="1" x14ac:dyDescent="0.2"/>
    <row r="325" spans="1:8" s="1" customFormat="1" x14ac:dyDescent="0.2">
      <c r="A325" s="1" t="s">
        <v>809</v>
      </c>
      <c r="B325" s="1" t="s">
        <v>807</v>
      </c>
      <c r="E325" s="1">
        <v>2000</v>
      </c>
      <c r="F325" s="1" t="s">
        <v>811</v>
      </c>
    </row>
    <row r="326" spans="1:8" s="1" customFormat="1" x14ac:dyDescent="0.2">
      <c r="B326" s="1" t="s">
        <v>808</v>
      </c>
      <c r="E326" s="1">
        <f>-((1750-1710)*100-800)</f>
        <v>-3200</v>
      </c>
      <c r="H326" s="1" t="str">
        <f ca="1">_xlfn.FORMULATEXT(E326)</f>
        <v>=-((1750-1710)*100-800)</v>
      </c>
    </row>
    <row r="327" spans="1:8" s="1" customFormat="1" x14ac:dyDescent="0.2">
      <c r="B327" s="1" t="s">
        <v>812</v>
      </c>
      <c r="E327" s="1">
        <f>E325+E326</f>
        <v>-1200</v>
      </c>
    </row>
    <row r="328" spans="1:8" s="1" customFormat="1" x14ac:dyDescent="0.2"/>
    <row r="329" spans="1:8" s="1" customFormat="1" x14ac:dyDescent="0.2">
      <c r="A329" s="1" t="s">
        <v>813</v>
      </c>
      <c r="B329" s="1" t="s">
        <v>814</v>
      </c>
    </row>
    <row r="330" spans="1:8" s="1" customFormat="1" x14ac:dyDescent="0.2">
      <c r="B330" s="1" t="s">
        <v>815</v>
      </c>
    </row>
    <row r="331" spans="1:8" s="1" customFormat="1" x14ac:dyDescent="0.2">
      <c r="B331" s="1" t="s">
        <v>816</v>
      </c>
    </row>
    <row r="332" spans="1:8" s="1" customFormat="1" x14ac:dyDescent="0.2">
      <c r="B332" s="1" t="s">
        <v>817</v>
      </c>
    </row>
    <row r="333" spans="1:8" s="1" customFormat="1" x14ac:dyDescent="0.2">
      <c r="B333" s="1" t="s">
        <v>818</v>
      </c>
    </row>
    <row r="334" spans="1:8" s="1" customFormat="1" x14ac:dyDescent="0.2"/>
  </sheetData>
  <mergeCells count="2">
    <mergeCell ref="A15:H15"/>
    <mergeCell ref="E108:F108"/>
  </mergeCells>
  <pageMargins left="0.7" right="0.7" top="0.75" bottom="0.75" header="0.3" footer="0.3"/>
  <pageSetup paperSize="9" scale="95" orientation="portrait" horizontalDpi="0" verticalDpi="0"/>
  <rowBreaks count="2" manualBreakCount="2">
    <brk id="211" max="7" man="1"/>
    <brk id="310" max="7" man="1"/>
  </rowBreaks>
  <colBreaks count="1" manualBreakCount="1">
    <brk id="8" max="1048575" man="1"/>
  </col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04" zoomScale="281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2090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826</v>
      </c>
    </row>
    <row r="13" spans="1:8" x14ac:dyDescent="0.2">
      <c r="A13" s="1" t="s">
        <v>827</v>
      </c>
    </row>
    <row r="14" spans="1:8" x14ac:dyDescent="0.2">
      <c r="A14" s="1" t="s">
        <v>828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829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830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2091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2092</v>
      </c>
      <c r="H49" s="1" t="s">
        <v>25</v>
      </c>
    </row>
    <row r="50" spans="1:11" x14ac:dyDescent="0.2">
      <c r="A50" s="1" t="s">
        <v>2093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831</v>
      </c>
    </row>
    <row r="56" spans="1:11" x14ac:dyDescent="0.2">
      <c r="A56" s="4" t="s">
        <v>31</v>
      </c>
    </row>
    <row r="57" spans="1:11" x14ac:dyDescent="0.2">
      <c r="A57" s="1" t="s">
        <v>832</v>
      </c>
    </row>
    <row r="58" spans="1:11" x14ac:dyDescent="0.2">
      <c r="A58" s="1" t="s">
        <v>833</v>
      </c>
    </row>
    <row r="60" spans="1:11" x14ac:dyDescent="0.2">
      <c r="A60" s="4" t="s">
        <v>32</v>
      </c>
    </row>
    <row r="61" spans="1:11" x14ac:dyDescent="0.2">
      <c r="A61" s="1" t="s">
        <v>834</v>
      </c>
    </row>
    <row r="63" spans="1:11" x14ac:dyDescent="0.2">
      <c r="A63" s="4" t="s">
        <v>40</v>
      </c>
      <c r="J63" s="124" t="s">
        <v>840</v>
      </c>
    </row>
    <row r="64" spans="1:11" x14ac:dyDescent="0.2">
      <c r="A64" s="1" t="s">
        <v>33</v>
      </c>
      <c r="J64" s="124" t="s">
        <v>841</v>
      </c>
      <c r="K64" s="124"/>
    </row>
    <row r="65" spans="1:11" x14ac:dyDescent="0.2">
      <c r="A65" s="19" t="s">
        <v>835</v>
      </c>
      <c r="J65" s="124" t="s">
        <v>842</v>
      </c>
      <c r="K65" s="124"/>
    </row>
    <row r="66" spans="1:11" x14ac:dyDescent="0.2">
      <c r="A66" s="19" t="s">
        <v>836</v>
      </c>
      <c r="K66" s="124"/>
    </row>
    <row r="67" spans="1:11" x14ac:dyDescent="0.2">
      <c r="A67" s="19"/>
      <c r="J67" s="124"/>
      <c r="K67" s="124"/>
    </row>
    <row r="68" spans="1:11" x14ac:dyDescent="0.2">
      <c r="A68" s="19" t="s">
        <v>109</v>
      </c>
      <c r="J68" s="124" t="s">
        <v>837</v>
      </c>
      <c r="K68" s="124"/>
    </row>
    <row r="69" spans="1:11" x14ac:dyDescent="0.2">
      <c r="A69" s="19" t="s">
        <v>110</v>
      </c>
      <c r="J69" s="124" t="s">
        <v>838</v>
      </c>
      <c r="K69" s="124"/>
    </row>
    <row r="70" spans="1:11" x14ac:dyDescent="0.2">
      <c r="J70" s="124" t="s">
        <v>839</v>
      </c>
      <c r="K70" s="124"/>
    </row>
    <row r="71" spans="1:11" x14ac:dyDescent="0.2">
      <c r="A71" s="4" t="s">
        <v>42</v>
      </c>
    </row>
    <row r="72" spans="1:11" x14ac:dyDescent="0.2">
      <c r="A72" s="1" t="s">
        <v>843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844</v>
      </c>
    </row>
    <row r="77" spans="1:11" x14ac:dyDescent="0.2">
      <c r="A77" s="18" t="s">
        <v>845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846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847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848</v>
      </c>
    </row>
    <row r="88" spans="1:8" ht="17" thickBot="1" x14ac:dyDescent="0.25"/>
    <row r="89" spans="1:8" ht="17" thickBot="1" x14ac:dyDescent="0.25">
      <c r="A89" s="125" t="s">
        <v>849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84" t="s">
        <v>36</v>
      </c>
      <c r="E107" s="1" t="s">
        <v>2094</v>
      </c>
    </row>
    <row r="108" spans="1:8" ht="17" thickBot="1" x14ac:dyDescent="0.25">
      <c r="A108" s="1" t="s">
        <v>59</v>
      </c>
      <c r="C108" s="284" t="s">
        <v>60</v>
      </c>
      <c r="E108" s="1" t="s">
        <v>2095</v>
      </c>
    </row>
    <row r="109" spans="1:8" ht="17" thickBot="1" x14ac:dyDescent="0.25"/>
    <row r="110" spans="1:8" x14ac:dyDescent="0.2">
      <c r="A110" s="46" t="s">
        <v>856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850</v>
      </c>
      <c r="C112" s="1" t="s">
        <v>851</v>
      </c>
      <c r="H112" s="42"/>
    </row>
    <row r="113" spans="1:8" x14ac:dyDescent="0.2">
      <c r="A113" s="41" t="s">
        <v>852</v>
      </c>
      <c r="C113" s="1" t="s">
        <v>853</v>
      </c>
      <c r="H113" s="42"/>
    </row>
    <row r="114" spans="1:8" ht="17" thickBot="1" x14ac:dyDescent="0.25">
      <c r="A114" s="43" t="s">
        <v>854</v>
      </c>
      <c r="B114" s="44"/>
      <c r="C114" s="44" t="s">
        <v>855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857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858</v>
      </c>
    </row>
    <row r="120" spans="1:8" x14ac:dyDescent="0.2">
      <c r="A120" s="1" t="s">
        <v>859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861</v>
      </c>
    </row>
    <row r="124" spans="1:8" x14ac:dyDescent="0.2">
      <c r="A124" s="1" t="s">
        <v>862</v>
      </c>
    </row>
    <row r="126" spans="1:8" x14ac:dyDescent="0.2">
      <c r="A126" s="1" t="s">
        <v>860</v>
      </c>
    </row>
    <row r="127" spans="1:8" x14ac:dyDescent="0.2">
      <c r="A127" s="1" t="s">
        <v>63</v>
      </c>
    </row>
    <row r="128" spans="1:8" x14ac:dyDescent="0.2">
      <c r="A128" s="1" t="s">
        <v>863</v>
      </c>
      <c r="E128" s="21" t="s">
        <v>864</v>
      </c>
      <c r="F128" s="1" t="s">
        <v>865</v>
      </c>
    </row>
    <row r="129" spans="1:8" x14ac:dyDescent="0.2">
      <c r="A129" s="1" t="s">
        <v>866</v>
      </c>
    </row>
    <row r="130" spans="1:8" x14ac:dyDescent="0.2">
      <c r="A130" s="1" t="s">
        <v>867</v>
      </c>
    </row>
    <row r="131" spans="1:8" x14ac:dyDescent="0.2">
      <c r="A131" s="1" t="s">
        <v>868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870</v>
      </c>
    </row>
    <row r="142" spans="1:8" x14ac:dyDescent="0.2">
      <c r="A142" s="1" t="s">
        <v>67</v>
      </c>
    </row>
    <row r="143" spans="1:8" x14ac:dyDescent="0.2">
      <c r="A143" s="1" t="s">
        <v>869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871</v>
      </c>
    </row>
    <row r="150" spans="1:7" x14ac:dyDescent="0.2">
      <c r="A150" s="1" t="s">
        <v>872</v>
      </c>
    </row>
    <row r="151" spans="1:7" x14ac:dyDescent="0.2">
      <c r="A151" s="1" t="s">
        <v>873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879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880</v>
      </c>
      <c r="F161" s="32" t="s">
        <v>117</v>
      </c>
      <c r="G161" s="25" t="s">
        <v>881</v>
      </c>
    </row>
    <row r="162" spans="1:9" s="25" customFormat="1" x14ac:dyDescent="0.2">
      <c r="A162" s="25" t="s">
        <v>86</v>
      </c>
      <c r="F162" s="32" t="s">
        <v>117</v>
      </c>
      <c r="G162" s="25" t="s">
        <v>882</v>
      </c>
    </row>
    <row r="163" spans="1:9" s="25" customFormat="1" x14ac:dyDescent="0.2">
      <c r="A163" s="25" t="s">
        <v>87</v>
      </c>
      <c r="F163" s="32" t="s">
        <v>117</v>
      </c>
      <c r="G163" s="25" t="s">
        <v>881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874</v>
      </c>
      <c r="B166" s="23"/>
      <c r="C166" s="23"/>
      <c r="D166" s="23"/>
      <c r="E166" s="23"/>
      <c r="F166" s="23"/>
      <c r="G166" s="23"/>
      <c r="H166" s="24"/>
      <c r="I166" s="25" t="s">
        <v>877</v>
      </c>
    </row>
    <row r="167" spans="1:9" s="25" customFormat="1" x14ac:dyDescent="0.2">
      <c r="A167" s="26" t="s">
        <v>89</v>
      </c>
      <c r="H167" s="27"/>
      <c r="I167" s="25" t="s">
        <v>875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876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883</v>
      </c>
      <c r="B171" s="23"/>
      <c r="C171" s="23"/>
      <c r="D171" s="23"/>
      <c r="E171" s="23"/>
      <c r="F171" s="23"/>
      <c r="G171" s="23"/>
      <c r="H171" s="126" t="s">
        <v>92</v>
      </c>
    </row>
    <row r="172" spans="1:9" s="25" customFormat="1" ht="17" thickBot="1" x14ac:dyDescent="0.25">
      <c r="A172" s="28" t="s">
        <v>878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2096</v>
      </c>
    </row>
    <row r="176" spans="1:9" x14ac:dyDescent="0.2">
      <c r="A176" s="21" t="s">
        <v>897</v>
      </c>
      <c r="B176" s="21" t="s">
        <v>2099</v>
      </c>
      <c r="D176" s="21"/>
      <c r="E176" s="21"/>
    </row>
    <row r="177" spans="1:8" x14ac:dyDescent="0.2">
      <c r="A177" s="21" t="s">
        <v>2097</v>
      </c>
      <c r="B177" s="21" t="s">
        <v>2100</v>
      </c>
      <c r="C177" s="21" t="s">
        <v>2102</v>
      </c>
      <c r="D177" s="21" t="s">
        <v>72</v>
      </c>
      <c r="E177" s="21" t="s">
        <v>213</v>
      </c>
      <c r="G177" s="1" t="s">
        <v>2106</v>
      </c>
    </row>
    <row r="178" spans="1:8" x14ac:dyDescent="0.2">
      <c r="A178" s="21" t="s">
        <v>2098</v>
      </c>
      <c r="B178" s="21" t="s">
        <v>2101</v>
      </c>
      <c r="C178" s="21" t="s">
        <v>2103</v>
      </c>
      <c r="D178" s="21" t="s">
        <v>1399</v>
      </c>
      <c r="E178" s="21" t="s">
        <v>2104</v>
      </c>
      <c r="G178" s="1" t="s">
        <v>2107</v>
      </c>
    </row>
    <row r="179" spans="1:8" ht="17" thickBot="1" x14ac:dyDescent="0.25">
      <c r="A179" s="270" t="s">
        <v>71</v>
      </c>
      <c r="B179" s="270" t="s">
        <v>246</v>
      </c>
      <c r="C179" s="270" t="s">
        <v>92</v>
      </c>
      <c r="D179" s="270" t="s">
        <v>239</v>
      </c>
      <c r="E179" s="270" t="s">
        <v>2105</v>
      </c>
      <c r="G179" s="1" t="s">
        <v>2108</v>
      </c>
    </row>
    <row r="180" spans="1:8" x14ac:dyDescent="0.2">
      <c r="A180" s="21">
        <v>60</v>
      </c>
      <c r="B180" s="21">
        <v>100</v>
      </c>
      <c r="C180" s="21" t="s">
        <v>901</v>
      </c>
      <c r="D180" s="21">
        <v>0</v>
      </c>
      <c r="E180" s="21">
        <f>D180-20</f>
        <v>-20</v>
      </c>
      <c r="G180" s="1" t="s">
        <v>2109</v>
      </c>
    </row>
    <row r="181" spans="1:8" x14ac:dyDescent="0.2">
      <c r="A181" s="21">
        <v>70</v>
      </c>
      <c r="B181" s="21">
        <f>B180</f>
        <v>100</v>
      </c>
      <c r="C181" s="21" t="s">
        <v>901</v>
      </c>
      <c r="D181" s="21">
        <v>0</v>
      </c>
      <c r="E181" s="21">
        <f t="shared" ref="E181:E188" si="0">D181-20</f>
        <v>-20</v>
      </c>
      <c r="G181" s="1" t="s">
        <v>2110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901</v>
      </c>
      <c r="D182" s="21">
        <v>0</v>
      </c>
      <c r="E182" s="21">
        <f t="shared" si="0"/>
        <v>-20</v>
      </c>
      <c r="G182" s="1" t="s">
        <v>1017</v>
      </c>
      <c r="H182" s="4" t="s">
        <v>250</v>
      </c>
    </row>
    <row r="183" spans="1:8" x14ac:dyDescent="0.2">
      <c r="A183" s="21">
        <v>90</v>
      </c>
      <c r="B183" s="21">
        <f t="shared" si="1"/>
        <v>100</v>
      </c>
      <c r="C183" s="21" t="s">
        <v>901</v>
      </c>
      <c r="D183" s="21">
        <v>0</v>
      </c>
      <c r="E183" s="21">
        <f t="shared" si="0"/>
        <v>-20</v>
      </c>
      <c r="G183" s="1" t="s">
        <v>2112</v>
      </c>
      <c r="H183" s="1" t="s">
        <v>2111</v>
      </c>
    </row>
    <row r="184" spans="1:8" x14ac:dyDescent="0.2">
      <c r="A184" s="21">
        <v>100</v>
      </c>
      <c r="B184" s="21">
        <f t="shared" si="1"/>
        <v>100</v>
      </c>
      <c r="C184" s="21" t="s">
        <v>901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333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333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333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333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2122</v>
      </c>
    </row>
    <row r="191" spans="1:8" x14ac:dyDescent="0.2">
      <c r="A191" s="1" t="s">
        <v>2113</v>
      </c>
    </row>
    <row r="192" spans="1:8" x14ac:dyDescent="0.2">
      <c r="A192" s="1" t="s">
        <v>2114</v>
      </c>
    </row>
    <row r="193" spans="1:9" x14ac:dyDescent="0.2">
      <c r="A193" s="1" t="s">
        <v>2115</v>
      </c>
    </row>
    <row r="194" spans="1:9" x14ac:dyDescent="0.2">
      <c r="A194" s="1" t="s">
        <v>2116</v>
      </c>
    </row>
    <row r="195" spans="1:9" x14ac:dyDescent="0.2">
      <c r="C195" s="1" t="s">
        <v>2117</v>
      </c>
    </row>
    <row r="196" spans="1:9" x14ac:dyDescent="0.2">
      <c r="C196" s="1" t="s">
        <v>2118</v>
      </c>
      <c r="G196" s="1" t="s">
        <v>925</v>
      </c>
    </row>
    <row r="197" spans="1:9" x14ac:dyDescent="0.2">
      <c r="A197" s="1" t="s">
        <v>2119</v>
      </c>
    </row>
    <row r="198" spans="1:9" x14ac:dyDescent="0.2">
      <c r="B198" s="1" t="s">
        <v>2120</v>
      </c>
    </row>
    <row r="199" spans="1:9" x14ac:dyDescent="0.2">
      <c r="G199" s="1" t="s">
        <v>2121</v>
      </c>
    </row>
    <row r="201" spans="1:9" x14ac:dyDescent="0.2">
      <c r="A201" s="4" t="s">
        <v>884</v>
      </c>
    </row>
    <row r="202" spans="1:9" x14ac:dyDescent="0.2">
      <c r="A202" s="1" t="s">
        <v>885</v>
      </c>
    </row>
    <row r="203" spans="1:9" x14ac:dyDescent="0.2">
      <c r="A203" s="1" t="s">
        <v>886</v>
      </c>
    </row>
    <row r="204" spans="1:9" x14ac:dyDescent="0.2">
      <c r="A204" s="1" t="s">
        <v>887</v>
      </c>
    </row>
    <row r="205" spans="1:9" x14ac:dyDescent="0.2">
      <c r="A205" s="1" t="s">
        <v>888</v>
      </c>
    </row>
    <row r="208" spans="1:9" ht="36" x14ac:dyDescent="0.4">
      <c r="A208" s="127"/>
      <c r="B208" s="127"/>
      <c r="C208" s="127"/>
      <c r="D208" s="127"/>
      <c r="E208" s="127"/>
      <c r="F208" s="127"/>
      <c r="G208" s="127"/>
      <c r="H208" s="127"/>
      <c r="I208" s="127"/>
    </row>
    <row r="209" spans="1:8" ht="17" thickBot="1" x14ac:dyDescent="0.25"/>
    <row r="210" spans="1:8" ht="17" thickBot="1" x14ac:dyDescent="0.25">
      <c r="A210" s="15" t="s">
        <v>2123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39" zoomScale="348" zoomScaleNormal="380" zoomScaleSheetLayoutView="396" workbookViewId="0">
      <selection sqref="A1:XFD1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2143</v>
      </c>
    </row>
    <row r="7" spans="1:9" ht="17" thickBot="1" x14ac:dyDescent="0.25"/>
    <row r="8" spans="1:9" x14ac:dyDescent="0.2">
      <c r="A8" s="289" t="s">
        <v>889</v>
      </c>
      <c r="B8" s="290"/>
      <c r="C8" s="290"/>
      <c r="D8" s="290"/>
      <c r="E8" s="290"/>
      <c r="F8" s="290"/>
      <c r="G8" s="290"/>
      <c r="H8" s="290"/>
      <c r="I8" s="291"/>
    </row>
    <row r="9" spans="1:9" x14ac:dyDescent="0.2">
      <c r="A9" s="41" t="s">
        <v>890</v>
      </c>
      <c r="I9" s="42"/>
    </row>
    <row r="10" spans="1:9" x14ac:dyDescent="0.2">
      <c r="A10" s="41" t="s">
        <v>891</v>
      </c>
      <c r="I10" s="42"/>
    </row>
    <row r="11" spans="1:9" x14ac:dyDescent="0.2">
      <c r="A11" s="41" t="s">
        <v>892</v>
      </c>
      <c r="I11" s="42"/>
    </row>
    <row r="12" spans="1:9" ht="17" thickBot="1" x14ac:dyDescent="0.25">
      <c r="A12" s="43" t="s">
        <v>893</v>
      </c>
      <c r="B12" s="44"/>
      <c r="C12" s="44"/>
      <c r="D12" s="270" t="s">
        <v>92</v>
      </c>
      <c r="E12" s="44" t="s">
        <v>894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86" t="s">
        <v>2127</v>
      </c>
      <c r="B14" s="287"/>
      <c r="C14" s="287"/>
      <c r="D14" s="287"/>
      <c r="E14" s="287"/>
      <c r="F14" s="287"/>
      <c r="G14" s="287"/>
      <c r="H14" s="287"/>
      <c r="I14" s="288"/>
    </row>
    <row r="15" spans="1:9" x14ac:dyDescent="0.2">
      <c r="A15" s="1" t="s">
        <v>895</v>
      </c>
    </row>
    <row r="16" spans="1:9" x14ac:dyDescent="0.2">
      <c r="A16" s="1" t="s">
        <v>896</v>
      </c>
    </row>
    <row r="17" spans="1:9" x14ac:dyDescent="0.2">
      <c r="A17" s="1" t="s">
        <v>899</v>
      </c>
    </row>
    <row r="19" spans="1:9" x14ac:dyDescent="0.2">
      <c r="B19" s="296" t="s">
        <v>2144</v>
      </c>
    </row>
    <row r="20" spans="1:9" x14ac:dyDescent="0.2">
      <c r="B20" s="296" t="s">
        <v>900</v>
      </c>
    </row>
    <row r="21" spans="1:9" x14ac:dyDescent="0.2">
      <c r="B21" s="295" t="s">
        <v>145</v>
      </c>
    </row>
    <row r="22" spans="1:9" x14ac:dyDescent="0.2">
      <c r="B22" s="295"/>
      <c r="C22" s="297" t="s">
        <v>128</v>
      </c>
      <c r="D22" s="343" t="s">
        <v>2159</v>
      </c>
      <c r="E22" s="343"/>
    </row>
    <row r="23" spans="1:9" x14ac:dyDescent="0.2">
      <c r="B23" s="295" t="s">
        <v>2145</v>
      </c>
      <c r="C23" s="21" t="s">
        <v>72</v>
      </c>
      <c r="D23" s="298" t="s">
        <v>2152</v>
      </c>
    </row>
    <row r="24" spans="1:9" x14ac:dyDescent="0.2">
      <c r="B24" s="295" t="s">
        <v>2146</v>
      </c>
      <c r="C24" s="21" t="s">
        <v>2157</v>
      </c>
      <c r="D24" s="298" t="s">
        <v>902</v>
      </c>
    </row>
    <row r="25" spans="1:9" x14ac:dyDescent="0.2">
      <c r="B25" s="295" t="s">
        <v>2147</v>
      </c>
      <c r="C25" s="21" t="s">
        <v>144</v>
      </c>
      <c r="D25" s="298" t="s">
        <v>2153</v>
      </c>
      <c r="H25" s="21" t="s">
        <v>280</v>
      </c>
    </row>
    <row r="26" spans="1:9" x14ac:dyDescent="0.2">
      <c r="A26" s="21" t="s">
        <v>897</v>
      </c>
      <c r="B26" s="295" t="s">
        <v>2148</v>
      </c>
      <c r="C26" s="21" t="s">
        <v>2158</v>
      </c>
      <c r="D26" s="298" t="s">
        <v>2154</v>
      </c>
      <c r="H26" s="21" t="s">
        <v>239</v>
      </c>
    </row>
    <row r="27" spans="1:9" x14ac:dyDescent="0.2">
      <c r="A27" s="21" t="s">
        <v>898</v>
      </c>
      <c r="B27" s="128" t="s">
        <v>2149</v>
      </c>
      <c r="C27" s="297" t="s">
        <v>2151</v>
      </c>
      <c r="D27" s="298" t="s">
        <v>2155</v>
      </c>
      <c r="I27" s="130"/>
    </row>
    <row r="28" spans="1:9" x14ac:dyDescent="0.2">
      <c r="A28" s="75" t="s">
        <v>71</v>
      </c>
      <c r="B28" s="75"/>
      <c r="C28" s="75"/>
      <c r="D28" s="299" t="s">
        <v>2156</v>
      </c>
      <c r="I28" s="31"/>
    </row>
    <row r="29" spans="1:9" x14ac:dyDescent="0.2">
      <c r="A29" s="123">
        <v>50</v>
      </c>
      <c r="B29" s="21" t="s">
        <v>2149</v>
      </c>
      <c r="C29" s="21">
        <v>0</v>
      </c>
      <c r="D29" s="21">
        <f t="shared" ref="D29:D34" si="0">0-20</f>
        <v>-20</v>
      </c>
    </row>
    <row r="30" spans="1:9" x14ac:dyDescent="0.2">
      <c r="A30" s="123">
        <f>A29+10</f>
        <v>60</v>
      </c>
      <c r="B30" s="21" t="s">
        <v>2149</v>
      </c>
      <c r="C30" s="21">
        <v>0</v>
      </c>
      <c r="D30" s="21">
        <f t="shared" si="0"/>
        <v>-20</v>
      </c>
      <c r="F30" s="130"/>
    </row>
    <row r="31" spans="1:9" x14ac:dyDescent="0.2">
      <c r="A31" s="123">
        <f>A30+10</f>
        <v>70</v>
      </c>
      <c r="B31" s="21" t="s">
        <v>2149</v>
      </c>
      <c r="C31" s="21">
        <v>0</v>
      </c>
      <c r="D31" s="21">
        <f t="shared" si="0"/>
        <v>-20</v>
      </c>
    </row>
    <row r="32" spans="1:9" x14ac:dyDescent="0.2">
      <c r="A32" s="123">
        <f>A31+10</f>
        <v>80</v>
      </c>
      <c r="B32" s="21" t="s">
        <v>2149</v>
      </c>
      <c r="C32" s="21">
        <v>0</v>
      </c>
      <c r="D32" s="21">
        <f t="shared" si="0"/>
        <v>-20</v>
      </c>
      <c r="F32" s="48"/>
    </row>
    <row r="33" spans="1:9" x14ac:dyDescent="0.2">
      <c r="A33" s="123">
        <f>A32+10</f>
        <v>90</v>
      </c>
      <c r="B33" s="21" t="s">
        <v>2149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2149</v>
      </c>
      <c r="C34" s="21">
        <v>0</v>
      </c>
      <c r="D34" s="21">
        <f t="shared" si="0"/>
        <v>-20</v>
      </c>
    </row>
    <row r="35" spans="1:9" x14ac:dyDescent="0.2">
      <c r="A35" s="129">
        <f>A34+10</f>
        <v>110</v>
      </c>
      <c r="B35" s="21" t="s">
        <v>2150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9">
        <f>A35+10</f>
        <v>120</v>
      </c>
      <c r="B36" s="21" t="s">
        <v>2150</v>
      </c>
      <c r="C36" s="21">
        <f>120-100</f>
        <v>20</v>
      </c>
      <c r="D36" s="21">
        <f>20-20</f>
        <v>0</v>
      </c>
    </row>
    <row r="37" spans="1:9" x14ac:dyDescent="0.2">
      <c r="A37" s="129">
        <f>A36+10</f>
        <v>130</v>
      </c>
      <c r="B37" s="21" t="s">
        <v>2150</v>
      </c>
      <c r="C37" s="21">
        <f>130-100</f>
        <v>30</v>
      </c>
      <c r="D37" s="21">
        <f>30-20</f>
        <v>10</v>
      </c>
      <c r="F37" s="21"/>
    </row>
    <row r="38" spans="1:9" x14ac:dyDescent="0.2">
      <c r="A38" s="129">
        <f>A37+10</f>
        <v>140</v>
      </c>
      <c r="B38" s="21" t="s">
        <v>2150</v>
      </c>
      <c r="C38" s="21">
        <f>140-100</f>
        <v>40</v>
      </c>
      <c r="D38" s="21">
        <f>40-20</f>
        <v>20</v>
      </c>
      <c r="G38" s="343"/>
      <c r="H38" s="343"/>
      <c r="I38" s="104"/>
    </row>
    <row r="39" spans="1:9" x14ac:dyDescent="0.2">
      <c r="A39" s="129">
        <f>A38+10</f>
        <v>150</v>
      </c>
      <c r="B39" s="21" t="s">
        <v>2150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903</v>
      </c>
    </row>
    <row r="43" spans="1:9" x14ac:dyDescent="0.2">
      <c r="A43" s="1" t="s">
        <v>904</v>
      </c>
    </row>
    <row r="44" spans="1:9" x14ac:dyDescent="0.2">
      <c r="A44" s="1" t="s">
        <v>905</v>
      </c>
    </row>
    <row r="45" spans="1:9" x14ac:dyDescent="0.2">
      <c r="A45" s="1" t="s">
        <v>906</v>
      </c>
    </row>
    <row r="46" spans="1:9" x14ac:dyDescent="0.2">
      <c r="A46" s="1" t="s">
        <v>907</v>
      </c>
    </row>
    <row r="47" spans="1:9" x14ac:dyDescent="0.2">
      <c r="A47" s="1" t="s">
        <v>908</v>
      </c>
    </row>
    <row r="48" spans="1:9" x14ac:dyDescent="0.2">
      <c r="A48" s="1" t="s">
        <v>909</v>
      </c>
    </row>
    <row r="50" spans="1:8" x14ac:dyDescent="0.2">
      <c r="A50" s="4" t="s">
        <v>910</v>
      </c>
    </row>
    <row r="51" spans="1:8" x14ac:dyDescent="0.2">
      <c r="A51" s="1" t="s">
        <v>911</v>
      </c>
    </row>
    <row r="52" spans="1:8" x14ac:dyDescent="0.2">
      <c r="A52" s="1" t="s">
        <v>912</v>
      </c>
    </row>
    <row r="53" spans="1:8" x14ac:dyDescent="0.2">
      <c r="A53" s="1" t="s">
        <v>913</v>
      </c>
    </row>
    <row r="54" spans="1:8" x14ac:dyDescent="0.2">
      <c r="A54" s="1" t="s">
        <v>914</v>
      </c>
    </row>
    <row r="55" spans="1:8" x14ac:dyDescent="0.2">
      <c r="A55" s="1" t="s">
        <v>915</v>
      </c>
    </row>
    <row r="56" spans="1:8" x14ac:dyDescent="0.2">
      <c r="A56" s="1" t="s">
        <v>916</v>
      </c>
    </row>
    <row r="57" spans="1:8" ht="17" thickBot="1" x14ac:dyDescent="0.25"/>
    <row r="58" spans="1:8" x14ac:dyDescent="0.2">
      <c r="A58" s="131" t="s">
        <v>119</v>
      </c>
      <c r="B58" s="132" t="s">
        <v>120</v>
      </c>
      <c r="C58" s="132" t="s">
        <v>121</v>
      </c>
      <c r="D58" s="39"/>
      <c r="E58" s="39"/>
      <c r="F58" s="39"/>
      <c r="G58" s="39"/>
      <c r="H58" s="40"/>
    </row>
    <row r="59" spans="1:8" x14ac:dyDescent="0.2">
      <c r="A59" s="133"/>
      <c r="B59" s="31"/>
      <c r="C59" s="33" t="s">
        <v>122</v>
      </c>
      <c r="H59" s="42"/>
    </row>
    <row r="60" spans="1:8" x14ac:dyDescent="0.2">
      <c r="A60" s="133"/>
      <c r="B60" s="31"/>
      <c r="C60" s="33" t="s">
        <v>123</v>
      </c>
      <c r="H60" s="42"/>
    </row>
    <row r="61" spans="1:8" x14ac:dyDescent="0.2">
      <c r="A61" s="133"/>
      <c r="B61" s="32" t="s">
        <v>124</v>
      </c>
      <c r="C61" s="33" t="s">
        <v>125</v>
      </c>
      <c r="H61" s="42"/>
    </row>
    <row r="62" spans="1:8" x14ac:dyDescent="0.2">
      <c r="A62" s="133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4"/>
      <c r="B63" s="135"/>
      <c r="C63" s="136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917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918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919</v>
      </c>
    </row>
    <row r="77" spans="1:11" x14ac:dyDescent="0.2">
      <c r="A77" s="138">
        <v>20</v>
      </c>
      <c r="B77" s="34">
        <v>0</v>
      </c>
      <c r="C77" s="34">
        <f>0-10</f>
        <v>-10</v>
      </c>
    </row>
    <row r="78" spans="1:11" x14ac:dyDescent="0.2">
      <c r="A78" s="138">
        <f t="shared" ref="A78:A88" si="1">A77+10</f>
        <v>30</v>
      </c>
      <c r="B78" s="34">
        <v>0</v>
      </c>
      <c r="C78" s="34">
        <f>0-10</f>
        <v>-10</v>
      </c>
      <c r="I78" s="1" t="s">
        <v>920</v>
      </c>
    </row>
    <row r="79" spans="1:11" x14ac:dyDescent="0.2">
      <c r="A79" s="138">
        <f t="shared" si="1"/>
        <v>40</v>
      </c>
      <c r="B79" s="34">
        <v>0</v>
      </c>
      <c r="C79" s="34">
        <f t="shared" ref="C79:C88" si="2">B79-10</f>
        <v>-10</v>
      </c>
      <c r="I79" s="1" t="s">
        <v>921</v>
      </c>
      <c r="J79" s="21" t="s">
        <v>922</v>
      </c>
      <c r="K79" s="1" t="s">
        <v>923</v>
      </c>
    </row>
    <row r="80" spans="1:11" x14ac:dyDescent="0.2">
      <c r="A80" s="138">
        <f t="shared" si="1"/>
        <v>50</v>
      </c>
      <c r="B80" s="34">
        <v>0</v>
      </c>
      <c r="C80" s="34">
        <f t="shared" si="2"/>
        <v>-10</v>
      </c>
      <c r="I80" s="1" t="s">
        <v>924</v>
      </c>
      <c r="J80" s="21" t="s">
        <v>92</v>
      </c>
      <c r="K80" s="1" t="s">
        <v>925</v>
      </c>
    </row>
    <row r="81" spans="1:11" x14ac:dyDescent="0.2">
      <c r="A81" s="137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9">
        <f t="shared" si="1"/>
        <v>70</v>
      </c>
      <c r="B82" s="34">
        <f>70-60</f>
        <v>10</v>
      </c>
      <c r="C82" s="34">
        <f t="shared" si="2"/>
        <v>0</v>
      </c>
      <c r="I82" s="1" t="s">
        <v>926</v>
      </c>
    </row>
    <row r="83" spans="1:11" x14ac:dyDescent="0.2">
      <c r="A83" s="139">
        <f t="shared" si="1"/>
        <v>80</v>
      </c>
      <c r="B83" s="34">
        <f>80-60</f>
        <v>20</v>
      </c>
      <c r="C83" s="34">
        <f t="shared" si="2"/>
        <v>10</v>
      </c>
      <c r="K83" s="1" t="s">
        <v>927</v>
      </c>
    </row>
    <row r="84" spans="1:11" x14ac:dyDescent="0.2">
      <c r="A84" s="139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9">
        <f t="shared" si="1"/>
        <v>100</v>
      </c>
      <c r="B85" s="34">
        <f>100-60</f>
        <v>40</v>
      </c>
      <c r="C85" s="34">
        <f t="shared" si="2"/>
        <v>30</v>
      </c>
      <c r="I85" s="1" t="s">
        <v>928</v>
      </c>
    </row>
    <row r="86" spans="1:11" x14ac:dyDescent="0.2">
      <c r="A86" s="139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9">
        <f t="shared" si="1"/>
        <v>120</v>
      </c>
      <c r="B87" s="34">
        <f>120-60</f>
        <v>60</v>
      </c>
      <c r="C87" s="34">
        <f t="shared" si="2"/>
        <v>50</v>
      </c>
      <c r="I87" s="1" t="s">
        <v>929</v>
      </c>
    </row>
    <row r="88" spans="1:11" x14ac:dyDescent="0.2">
      <c r="A88" s="139">
        <f t="shared" si="1"/>
        <v>130</v>
      </c>
      <c r="B88" s="34">
        <f>130-60</f>
        <v>70</v>
      </c>
      <c r="C88" s="34">
        <f t="shared" si="2"/>
        <v>60</v>
      </c>
      <c r="I88" s="1" t="s">
        <v>930</v>
      </c>
    </row>
    <row r="89" spans="1:11" x14ac:dyDescent="0.2">
      <c r="I89" s="1" t="s">
        <v>931</v>
      </c>
    </row>
    <row r="91" spans="1:11" x14ac:dyDescent="0.2">
      <c r="I91" s="1" t="s">
        <v>932</v>
      </c>
    </row>
    <row r="92" spans="1:11" x14ac:dyDescent="0.2">
      <c r="I92" s="1" t="s">
        <v>933</v>
      </c>
    </row>
    <row r="93" spans="1:11" ht="17" thickBot="1" x14ac:dyDescent="0.25"/>
    <row r="94" spans="1:11" ht="17" thickBot="1" x14ac:dyDescent="0.25">
      <c r="A94" s="292" t="s">
        <v>2140</v>
      </c>
      <c r="B94" s="293"/>
      <c r="C94" s="293"/>
      <c r="D94" s="293"/>
      <c r="E94" s="293"/>
      <c r="F94" s="293"/>
      <c r="G94" s="293"/>
      <c r="H94" s="294"/>
    </row>
    <row r="96" spans="1:11" x14ac:dyDescent="0.2">
      <c r="A96" s="1" t="s">
        <v>2128</v>
      </c>
    </row>
    <row r="97" spans="1:8" x14ac:dyDescent="0.2">
      <c r="A97" s="1" t="s">
        <v>2160</v>
      </c>
    </row>
    <row r="98" spans="1:8" x14ac:dyDescent="0.2">
      <c r="A98" s="1" t="s">
        <v>2129</v>
      </c>
    </row>
    <row r="100" spans="1:8" x14ac:dyDescent="0.2">
      <c r="A100" s="1" t="s">
        <v>2130</v>
      </c>
    </row>
    <row r="102" spans="1:8" x14ac:dyDescent="0.2">
      <c r="A102" s="1" t="s">
        <v>2131</v>
      </c>
    </row>
    <row r="103" spans="1:8" x14ac:dyDescent="0.2">
      <c r="A103" s="1" t="s">
        <v>2132</v>
      </c>
    </row>
    <row r="105" spans="1:8" x14ac:dyDescent="0.2">
      <c r="A105" s="1" t="s">
        <v>2133</v>
      </c>
    </row>
    <row r="106" spans="1:8" ht="17" thickBot="1" x14ac:dyDescent="0.25"/>
    <row r="107" spans="1:8" ht="17" thickBot="1" x14ac:dyDescent="0.25">
      <c r="A107" s="286" t="s">
        <v>2134</v>
      </c>
      <c r="B107" s="287"/>
      <c r="C107" s="287"/>
      <c r="D107" s="287"/>
      <c r="E107" s="287"/>
      <c r="F107" s="287"/>
      <c r="G107" s="287"/>
      <c r="H107" s="288"/>
    </row>
    <row r="109" spans="1:8" x14ac:dyDescent="0.2">
      <c r="A109" s="1" t="s">
        <v>2136</v>
      </c>
    </row>
    <row r="110" spans="1:8" x14ac:dyDescent="0.2">
      <c r="A110" s="1" t="s">
        <v>2137</v>
      </c>
    </row>
    <row r="111" spans="1:8" x14ac:dyDescent="0.2">
      <c r="A111" s="1" t="s">
        <v>2135</v>
      </c>
    </row>
    <row r="113" spans="1:7" x14ac:dyDescent="0.2">
      <c r="A113" s="1" t="s">
        <v>2161</v>
      </c>
    </row>
    <row r="114" spans="1:7" x14ac:dyDescent="0.2">
      <c r="A114" s="1" t="s">
        <v>2138</v>
      </c>
    </row>
    <row r="115" spans="1:7" x14ac:dyDescent="0.2">
      <c r="A115" s="1" t="s">
        <v>2139</v>
      </c>
    </row>
    <row r="117" spans="1:7" x14ac:dyDescent="0.2">
      <c r="A117" s="4" t="s">
        <v>78</v>
      </c>
    </row>
    <row r="118" spans="1:7" x14ac:dyDescent="0.2">
      <c r="A118" s="343" t="s">
        <v>2163</v>
      </c>
      <c r="B118" s="343"/>
      <c r="C118" s="343"/>
    </row>
    <row r="119" spans="1:7" x14ac:dyDescent="0.2">
      <c r="A119" s="343" t="s">
        <v>2164</v>
      </c>
      <c r="B119" s="343"/>
      <c r="C119" s="343"/>
    </row>
    <row r="120" spans="1:7" x14ac:dyDescent="0.2">
      <c r="A120" s="344" t="s">
        <v>2165</v>
      </c>
      <c r="B120" s="344"/>
      <c r="C120" s="344"/>
      <c r="E120" s="344" t="s">
        <v>2162</v>
      </c>
      <c r="F120" s="344"/>
      <c r="G120" s="344"/>
    </row>
    <row r="121" spans="1:7" x14ac:dyDescent="0.2">
      <c r="A121" s="21" t="s">
        <v>71</v>
      </c>
      <c r="B121" s="21" t="s">
        <v>239</v>
      </c>
      <c r="C121" s="21" t="s">
        <v>280</v>
      </c>
      <c r="D121" s="21"/>
      <c r="E121" s="21" t="s">
        <v>71</v>
      </c>
      <c r="F121" s="21" t="s">
        <v>239</v>
      </c>
      <c r="G121" s="21" t="s">
        <v>280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2166</v>
      </c>
      <c r="E134" s="1" t="s">
        <v>2167</v>
      </c>
    </row>
    <row r="135" spans="1:7" x14ac:dyDescent="0.2">
      <c r="C135" s="21" t="s">
        <v>280</v>
      </c>
    </row>
    <row r="136" spans="1:7" x14ac:dyDescent="0.2">
      <c r="A136" s="1" t="s">
        <v>1633</v>
      </c>
    </row>
    <row r="137" spans="1:7" x14ac:dyDescent="0.2">
      <c r="A137" s="1" t="s">
        <v>222</v>
      </c>
    </row>
    <row r="146" spans="1:1" ht="21" x14ac:dyDescent="0.25">
      <c r="A146" s="153" t="s">
        <v>2168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172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2176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2246</v>
      </c>
    </row>
    <row r="3" spans="1:8" x14ac:dyDescent="0.2">
      <c r="A3" s="1" t="s">
        <v>2177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2178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86" t="s">
        <v>2175</v>
      </c>
      <c r="B9" s="287"/>
      <c r="C9" s="287"/>
      <c r="D9" s="287"/>
      <c r="E9" s="287"/>
      <c r="F9" s="287"/>
      <c r="G9" s="287"/>
      <c r="H9" s="288"/>
    </row>
    <row r="10" spans="1:8" s="1" customFormat="1" x14ac:dyDescent="0.2"/>
    <row r="11" spans="1:8" s="1" customFormat="1" x14ac:dyDescent="0.2">
      <c r="A11" s="1" t="s">
        <v>2170</v>
      </c>
    </row>
    <row r="12" spans="1:8" s="1" customFormat="1" x14ac:dyDescent="0.2">
      <c r="A12" s="1" t="s">
        <v>2171</v>
      </c>
    </row>
    <row r="13" spans="1:8" s="1" customFormat="1" x14ac:dyDescent="0.2">
      <c r="A13" s="1" t="s">
        <v>2172</v>
      </c>
    </row>
    <row r="14" spans="1:8" s="1" customFormat="1" x14ac:dyDescent="0.2">
      <c r="A14" s="1" t="s">
        <v>2173</v>
      </c>
    </row>
    <row r="15" spans="1:8" s="1" customFormat="1" x14ac:dyDescent="0.2">
      <c r="A15" s="1" t="s">
        <v>2174</v>
      </c>
    </row>
    <row r="16" spans="1:8" s="1" customFormat="1" x14ac:dyDescent="0.2"/>
    <row r="17" spans="1:15" s="1" customFormat="1" x14ac:dyDescent="0.2">
      <c r="A17" s="1" t="s">
        <v>2142</v>
      </c>
    </row>
    <row r="18" spans="1:15" s="1" customFormat="1" x14ac:dyDescent="0.2">
      <c r="A18" s="1" t="s">
        <v>2141</v>
      </c>
    </row>
    <row r="19" spans="1:15" s="1" customFormat="1" x14ac:dyDescent="0.2"/>
    <row r="20" spans="1:15" s="1" customFormat="1" x14ac:dyDescent="0.2">
      <c r="A20" s="1" t="s">
        <v>78</v>
      </c>
      <c r="E20" s="1" t="s">
        <v>2187</v>
      </c>
      <c r="H20" s="21" t="s">
        <v>2199</v>
      </c>
      <c r="L20" s="1" t="s">
        <v>343</v>
      </c>
    </row>
    <row r="21" spans="1:15" s="1" customFormat="1" x14ac:dyDescent="0.2">
      <c r="B21" s="21" t="s">
        <v>72</v>
      </c>
      <c r="C21" s="21"/>
      <c r="D21" s="21" t="s">
        <v>2184</v>
      </c>
      <c r="E21" s="21" t="s">
        <v>213</v>
      </c>
      <c r="H21" s="21" t="s">
        <v>538</v>
      </c>
      <c r="J21" s="21" t="s">
        <v>75</v>
      </c>
      <c r="O21" s="1" t="s">
        <v>2180</v>
      </c>
    </row>
    <row r="22" spans="1:15" s="1" customFormat="1" x14ac:dyDescent="0.2">
      <c r="A22" s="21" t="s">
        <v>897</v>
      </c>
      <c r="B22" s="21" t="s">
        <v>2179</v>
      </c>
      <c r="C22" s="21" t="s">
        <v>213</v>
      </c>
      <c r="D22" s="21" t="s">
        <v>2156</v>
      </c>
      <c r="E22" s="21" t="s">
        <v>2185</v>
      </c>
      <c r="G22" s="21" t="s">
        <v>897</v>
      </c>
      <c r="H22" s="21" t="s">
        <v>2188</v>
      </c>
      <c r="I22" s="21" t="s">
        <v>2189</v>
      </c>
      <c r="J22" s="21" t="s">
        <v>1018</v>
      </c>
      <c r="O22" s="1" t="s">
        <v>2181</v>
      </c>
    </row>
    <row r="23" spans="1:15" s="1" customFormat="1" x14ac:dyDescent="0.2">
      <c r="A23" s="75" t="s">
        <v>71</v>
      </c>
      <c r="B23" s="75" t="s">
        <v>239</v>
      </c>
      <c r="C23" s="75" t="s">
        <v>280</v>
      </c>
      <c r="D23" s="75" t="s">
        <v>250</v>
      </c>
      <c r="E23" s="75" t="s">
        <v>2186</v>
      </c>
      <c r="G23" s="75" t="s">
        <v>71</v>
      </c>
      <c r="H23" s="75" t="s">
        <v>2198</v>
      </c>
      <c r="I23" s="75" t="s">
        <v>1018</v>
      </c>
      <c r="J23" s="75" t="s">
        <v>2185</v>
      </c>
      <c r="O23" s="1" t="s">
        <v>2182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47">
        <v>10</v>
      </c>
      <c r="E24" s="303">
        <f t="shared" ref="E24:E34" si="1">C24/D$24</f>
        <v>-1</v>
      </c>
      <c r="G24" s="21">
        <v>0</v>
      </c>
      <c r="H24" s="348">
        <v>50</v>
      </c>
      <c r="I24" s="21">
        <f t="shared" ref="I24:I34" si="2">G24-H$24</f>
        <v>-50</v>
      </c>
      <c r="J24" s="304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48"/>
      <c r="E25" s="303">
        <f t="shared" si="1"/>
        <v>-1</v>
      </c>
      <c r="G25" s="21">
        <f t="shared" ref="G25:G34" si="5">G24+10</f>
        <v>10</v>
      </c>
      <c r="H25" s="348"/>
      <c r="I25" s="21">
        <f t="shared" si="2"/>
        <v>-40</v>
      </c>
      <c r="J25" s="304">
        <f t="shared" si="3"/>
        <v>-0.8</v>
      </c>
      <c r="O25" s="1" t="s">
        <v>2183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48"/>
      <c r="E26" s="303">
        <f t="shared" si="1"/>
        <v>-1</v>
      </c>
      <c r="G26" s="21">
        <f t="shared" si="5"/>
        <v>20</v>
      </c>
      <c r="H26" s="348"/>
      <c r="I26" s="21">
        <f t="shared" si="2"/>
        <v>-30</v>
      </c>
      <c r="J26" s="304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48"/>
      <c r="E27" s="303">
        <f t="shared" si="1"/>
        <v>-1</v>
      </c>
      <c r="G27" s="21">
        <f t="shared" si="5"/>
        <v>30</v>
      </c>
      <c r="H27" s="348"/>
      <c r="I27" s="21">
        <f t="shared" si="2"/>
        <v>-20</v>
      </c>
      <c r="J27" s="304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48"/>
      <c r="E28" s="303">
        <f t="shared" si="1"/>
        <v>-1</v>
      </c>
      <c r="G28" s="21">
        <f t="shared" si="5"/>
        <v>40</v>
      </c>
      <c r="H28" s="348"/>
      <c r="I28" s="21">
        <f t="shared" si="2"/>
        <v>-10</v>
      </c>
      <c r="J28" s="304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48"/>
      <c r="E29" s="303">
        <f t="shared" si="1"/>
        <v>-1</v>
      </c>
      <c r="G29" s="21">
        <f t="shared" si="5"/>
        <v>50</v>
      </c>
      <c r="H29" s="348"/>
      <c r="I29" s="21">
        <f t="shared" si="2"/>
        <v>0</v>
      </c>
      <c r="J29" s="304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48"/>
      <c r="E30" s="303">
        <f t="shared" si="1"/>
        <v>0</v>
      </c>
      <c r="G30" s="21">
        <f t="shared" si="5"/>
        <v>60</v>
      </c>
      <c r="H30" s="348"/>
      <c r="I30" s="21">
        <f t="shared" si="2"/>
        <v>10</v>
      </c>
      <c r="J30" s="304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48"/>
      <c r="E31" s="303">
        <f t="shared" si="1"/>
        <v>1</v>
      </c>
      <c r="G31" s="21">
        <f t="shared" si="5"/>
        <v>70</v>
      </c>
      <c r="H31" s="348"/>
      <c r="I31" s="21">
        <f t="shared" si="2"/>
        <v>20</v>
      </c>
      <c r="J31" s="304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48"/>
      <c r="E32" s="303">
        <f t="shared" si="1"/>
        <v>2</v>
      </c>
      <c r="G32" s="21">
        <f t="shared" si="5"/>
        <v>80</v>
      </c>
      <c r="H32" s="348"/>
      <c r="I32" s="21">
        <f t="shared" si="2"/>
        <v>30</v>
      </c>
      <c r="J32" s="304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48"/>
      <c r="E33" s="303">
        <f t="shared" si="1"/>
        <v>3</v>
      </c>
      <c r="G33" s="21">
        <f t="shared" si="5"/>
        <v>90</v>
      </c>
      <c r="H33" s="348"/>
      <c r="I33" s="21">
        <f t="shared" si="2"/>
        <v>40</v>
      </c>
      <c r="J33" s="304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48"/>
      <c r="E34" s="303">
        <f t="shared" si="1"/>
        <v>4</v>
      </c>
      <c r="G34" s="21">
        <f t="shared" si="5"/>
        <v>100</v>
      </c>
      <c r="H34" s="348"/>
      <c r="I34" s="21">
        <f t="shared" si="2"/>
        <v>50</v>
      </c>
      <c r="J34" s="304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49" t="s">
        <v>2190</v>
      </c>
      <c r="B36" s="350"/>
      <c r="C36" s="350"/>
      <c r="D36" s="350"/>
      <c r="E36" s="351"/>
      <c r="G36" s="349" t="s">
        <v>2191</v>
      </c>
      <c r="H36" s="350"/>
      <c r="I36" s="350"/>
      <c r="J36" s="351"/>
    </row>
    <row r="37" spans="1:10" s="1" customFormat="1" ht="17" thickBot="1" x14ac:dyDescent="0.25"/>
    <row r="38" spans="1:10" s="1" customFormat="1" x14ac:dyDescent="0.2">
      <c r="A38" s="97" t="s">
        <v>2192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2193</v>
      </c>
      <c r="J39" s="42"/>
    </row>
    <row r="40" spans="1:10" s="1" customFormat="1" x14ac:dyDescent="0.2">
      <c r="A40" s="41" t="s">
        <v>2194</v>
      </c>
      <c r="J40" s="42"/>
    </row>
    <row r="41" spans="1:10" s="1" customFormat="1" x14ac:dyDescent="0.2">
      <c r="A41" s="41" t="s">
        <v>2195</v>
      </c>
      <c r="J41" s="42"/>
    </row>
    <row r="42" spans="1:10" s="1" customFormat="1" x14ac:dyDescent="0.2">
      <c r="A42" s="41" t="s">
        <v>2196</v>
      </c>
      <c r="J42" s="42"/>
    </row>
    <row r="43" spans="1:10" s="1" customFormat="1" ht="17" thickBot="1" x14ac:dyDescent="0.25">
      <c r="A43" s="43" t="s">
        <v>2197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2200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2201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2202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2203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2204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2205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2206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2207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2208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2209</v>
      </c>
    </row>
    <row r="121" spans="1:8" s="1" customFormat="1" ht="17" thickBot="1" x14ac:dyDescent="0.25">
      <c r="C121" s="1" t="s">
        <v>2210</v>
      </c>
    </row>
    <row r="122" spans="1:8" s="1" customFormat="1" x14ac:dyDescent="0.2">
      <c r="C122" s="97" t="s">
        <v>2211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2212</v>
      </c>
      <c r="H123" s="42"/>
    </row>
    <row r="124" spans="1:8" s="1" customFormat="1" ht="17" thickBot="1" x14ac:dyDescent="0.25">
      <c r="C124" s="43" t="s">
        <v>2213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2214</v>
      </c>
    </row>
    <row r="126" spans="1:8" s="1" customFormat="1" x14ac:dyDescent="0.2">
      <c r="C126" s="1" t="s">
        <v>2215</v>
      </c>
    </row>
    <row r="127" spans="1:8" s="1" customFormat="1" x14ac:dyDescent="0.2">
      <c r="C127" s="1" t="s">
        <v>2216</v>
      </c>
    </row>
    <row r="128" spans="1:8" s="1" customFormat="1" x14ac:dyDescent="0.2">
      <c r="C128" s="1" t="s">
        <v>2217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98" t="s">
        <v>2186</v>
      </c>
      <c r="H130" s="97"/>
      <c r="I130" s="39"/>
      <c r="J130" s="39"/>
      <c r="K130" s="40" t="s">
        <v>2201</v>
      </c>
    </row>
    <row r="131" spans="1:11" s="1" customFormat="1" x14ac:dyDescent="0.2">
      <c r="A131" s="75" t="s">
        <v>897</v>
      </c>
      <c r="B131" s="305" t="s">
        <v>239</v>
      </c>
      <c r="C131" s="75" t="s">
        <v>280</v>
      </c>
      <c r="D131" s="299" t="s">
        <v>2187</v>
      </c>
      <c r="H131" s="41"/>
      <c r="K131" s="42" t="s">
        <v>2202</v>
      </c>
    </row>
    <row r="132" spans="1:11" s="1" customFormat="1" x14ac:dyDescent="0.2">
      <c r="A132" s="21">
        <v>150</v>
      </c>
      <c r="B132" s="226">
        <f>200-A132</f>
        <v>50</v>
      </c>
      <c r="C132" s="21">
        <f t="shared" ref="C132:C142" si="9">B132-15</f>
        <v>35</v>
      </c>
      <c r="D132" s="302">
        <f t="shared" ref="D132:D142" si="10">C132/15</f>
        <v>2.3333333333333335</v>
      </c>
      <c r="H132" s="41"/>
      <c r="K132" s="42" t="s">
        <v>2203</v>
      </c>
    </row>
    <row r="133" spans="1:11" s="1" customFormat="1" x14ac:dyDescent="0.2">
      <c r="A133" s="21">
        <f t="shared" ref="A133:A142" si="11">A132+10</f>
        <v>160</v>
      </c>
      <c r="B133" s="226">
        <f>200-A133</f>
        <v>40</v>
      </c>
      <c r="C133" s="21">
        <f t="shared" si="9"/>
        <v>25</v>
      </c>
      <c r="D133" s="302">
        <f t="shared" si="10"/>
        <v>1.6666666666666667</v>
      </c>
      <c r="H133" s="41"/>
      <c r="J133" s="1" t="s">
        <v>2204</v>
      </c>
      <c r="K133" s="42"/>
    </row>
    <row r="134" spans="1:11" s="1" customFormat="1" x14ac:dyDescent="0.2">
      <c r="A134" s="21">
        <f t="shared" si="11"/>
        <v>170</v>
      </c>
      <c r="B134" s="226">
        <f>200-A134</f>
        <v>30</v>
      </c>
      <c r="C134" s="21">
        <f t="shared" si="9"/>
        <v>15</v>
      </c>
      <c r="D134" s="302">
        <f t="shared" si="10"/>
        <v>1</v>
      </c>
      <c r="H134" s="41"/>
      <c r="J134" s="1" t="s">
        <v>2205</v>
      </c>
      <c r="K134" s="42"/>
    </row>
    <row r="135" spans="1:11" s="1" customFormat="1" x14ac:dyDescent="0.2">
      <c r="A135" s="21">
        <f t="shared" si="11"/>
        <v>180</v>
      </c>
      <c r="B135" s="226">
        <f>200-A135</f>
        <v>20</v>
      </c>
      <c r="C135" s="21">
        <f t="shared" si="9"/>
        <v>5</v>
      </c>
      <c r="D135" s="302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6">
        <f>200-A136</f>
        <v>10</v>
      </c>
      <c r="C136" s="21">
        <f t="shared" si="9"/>
        <v>-5</v>
      </c>
      <c r="D136" s="302">
        <f t="shared" si="10"/>
        <v>-0.33333333333333331</v>
      </c>
      <c r="H136" s="41"/>
      <c r="K136" s="42" t="s">
        <v>2206</v>
      </c>
    </row>
    <row r="137" spans="1:11" s="1" customFormat="1" ht="17" thickBot="1" x14ac:dyDescent="0.25">
      <c r="A137" s="21">
        <f t="shared" si="11"/>
        <v>200</v>
      </c>
      <c r="B137" s="226">
        <v>0</v>
      </c>
      <c r="C137" s="21">
        <f t="shared" si="9"/>
        <v>-15</v>
      </c>
      <c r="D137" s="302">
        <f t="shared" si="10"/>
        <v>-1</v>
      </c>
      <c r="H137" s="43"/>
      <c r="I137" s="44"/>
      <c r="J137" s="44" t="s">
        <v>2207</v>
      </c>
      <c r="K137" s="45"/>
    </row>
    <row r="138" spans="1:11" s="1" customFormat="1" x14ac:dyDescent="0.2">
      <c r="A138" s="21">
        <f t="shared" si="11"/>
        <v>210</v>
      </c>
      <c r="B138" s="226">
        <v>0</v>
      </c>
      <c r="C138" s="21">
        <f t="shared" si="9"/>
        <v>-15</v>
      </c>
      <c r="D138" s="302">
        <f t="shared" si="10"/>
        <v>-1</v>
      </c>
    </row>
    <row r="139" spans="1:11" s="1" customFormat="1" x14ac:dyDescent="0.2">
      <c r="A139" s="21">
        <f t="shared" si="11"/>
        <v>220</v>
      </c>
      <c r="B139" s="226">
        <v>0</v>
      </c>
      <c r="C139" s="21">
        <f t="shared" si="9"/>
        <v>-15</v>
      </c>
      <c r="D139" s="302">
        <f t="shared" si="10"/>
        <v>-1</v>
      </c>
    </row>
    <row r="140" spans="1:11" s="1" customFormat="1" x14ac:dyDescent="0.2">
      <c r="A140" s="21">
        <f t="shared" si="11"/>
        <v>230</v>
      </c>
      <c r="B140" s="226">
        <v>0</v>
      </c>
      <c r="C140" s="21">
        <f t="shared" si="9"/>
        <v>-15</v>
      </c>
      <c r="D140" s="302">
        <f t="shared" si="10"/>
        <v>-1</v>
      </c>
    </row>
    <row r="141" spans="1:11" s="1" customFormat="1" x14ac:dyDescent="0.2">
      <c r="A141" s="21">
        <f t="shared" si="11"/>
        <v>240</v>
      </c>
      <c r="B141" s="226">
        <v>0</v>
      </c>
      <c r="C141" s="21">
        <f t="shared" si="9"/>
        <v>-15</v>
      </c>
      <c r="D141" s="302">
        <f t="shared" si="10"/>
        <v>-1</v>
      </c>
    </row>
    <row r="142" spans="1:11" s="1" customFormat="1" x14ac:dyDescent="0.2">
      <c r="A142" s="21">
        <f t="shared" si="11"/>
        <v>250</v>
      </c>
      <c r="B142" s="226">
        <v>0</v>
      </c>
      <c r="C142" s="21">
        <f t="shared" si="9"/>
        <v>-15</v>
      </c>
      <c r="D142" s="302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2218</v>
      </c>
    </row>
    <row r="146" spans="1:2" s="1" customFormat="1" x14ac:dyDescent="0.2">
      <c r="A146" s="1" t="s">
        <v>2219</v>
      </c>
    </row>
    <row r="147" spans="1:2" s="1" customFormat="1" x14ac:dyDescent="0.2">
      <c r="B147" s="1" t="s">
        <v>2220</v>
      </c>
    </row>
    <row r="148" spans="1:2" s="1" customFormat="1" x14ac:dyDescent="0.2">
      <c r="B148" s="1" t="s">
        <v>2221</v>
      </c>
    </row>
    <row r="149" spans="1:2" s="1" customFormat="1" x14ac:dyDescent="0.2">
      <c r="B149" s="1" t="s">
        <v>2222</v>
      </c>
    </row>
    <row r="150" spans="1:2" s="1" customFormat="1" x14ac:dyDescent="0.2">
      <c r="B150" s="1" t="s">
        <v>2223</v>
      </c>
    </row>
    <row r="151" spans="1:2" s="1" customFormat="1" x14ac:dyDescent="0.2">
      <c r="B151" s="1" t="s">
        <v>2224</v>
      </c>
    </row>
    <row r="152" spans="1:2" s="1" customFormat="1" x14ac:dyDescent="0.2">
      <c r="B152" s="1" t="s">
        <v>2225</v>
      </c>
    </row>
    <row r="153" spans="1:2" s="1" customFormat="1" x14ac:dyDescent="0.2"/>
    <row r="154" spans="1:2" s="1" customFormat="1" x14ac:dyDescent="0.2">
      <c r="A154" s="1" t="s">
        <v>2226</v>
      </c>
    </row>
    <row r="155" spans="1:2" s="1" customFormat="1" x14ac:dyDescent="0.2">
      <c r="B155" s="1" t="s">
        <v>2227</v>
      </c>
    </row>
    <row r="156" spans="1:2" s="1" customFormat="1" x14ac:dyDescent="0.2">
      <c r="B156" s="1" t="s">
        <v>2228</v>
      </c>
    </row>
    <row r="157" spans="1:2" s="1" customFormat="1" x14ac:dyDescent="0.2">
      <c r="B157" s="1" t="s">
        <v>2229</v>
      </c>
    </row>
    <row r="158" spans="1:2" s="1" customFormat="1" x14ac:dyDescent="0.2">
      <c r="B158" s="1" t="s">
        <v>2230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2231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2232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2233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2234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2235</v>
      </c>
    </row>
    <row r="209" spans="1:4" s="1" customFormat="1" x14ac:dyDescent="0.2">
      <c r="A209" s="1" t="s">
        <v>2243</v>
      </c>
    </row>
    <row r="210" spans="1:4" s="1" customFormat="1" x14ac:dyDescent="0.2">
      <c r="A210" s="1" t="s">
        <v>2236</v>
      </c>
    </row>
    <row r="211" spans="1:4" s="1" customFormat="1" x14ac:dyDescent="0.2">
      <c r="A211" s="1" t="s">
        <v>2237</v>
      </c>
    </row>
    <row r="212" spans="1:4" s="1" customFormat="1" x14ac:dyDescent="0.2">
      <c r="A212" s="1" t="s">
        <v>2242</v>
      </c>
    </row>
    <row r="213" spans="1:4" s="1" customFormat="1" x14ac:dyDescent="0.2">
      <c r="A213" s="1" t="s">
        <v>2238</v>
      </c>
    </row>
    <row r="214" spans="1:4" s="1" customFormat="1" x14ac:dyDescent="0.2"/>
    <row r="215" spans="1:4" s="1" customFormat="1" x14ac:dyDescent="0.2">
      <c r="A215" s="1" t="s">
        <v>739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2239</v>
      </c>
      <c r="C218" s="75" t="s">
        <v>2240</v>
      </c>
      <c r="D218" s="75" t="s">
        <v>2241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45" t="s">
        <v>222</v>
      </c>
      <c r="B510" s="345"/>
      <c r="C510" s="345"/>
      <c r="D510" s="346" t="s">
        <v>223</v>
      </c>
      <c r="E510" s="346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zoomScale="364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2250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6" t="s">
        <v>1133</v>
      </c>
      <c r="B3" s="143"/>
      <c r="C3" s="143"/>
      <c r="D3" s="143"/>
      <c r="E3" s="143"/>
      <c r="F3" s="143"/>
      <c r="G3" s="143"/>
      <c r="H3" s="144"/>
    </row>
    <row r="5" spans="1:8" x14ac:dyDescent="0.2">
      <c r="A5" s="62" t="s">
        <v>1199</v>
      </c>
    </row>
    <row r="6" spans="1:8" x14ac:dyDescent="0.2">
      <c r="A6" s="62" t="s">
        <v>1200</v>
      </c>
    </row>
    <row r="7" spans="1:8" x14ac:dyDescent="0.2">
      <c r="A7" s="62" t="s">
        <v>1134</v>
      </c>
    </row>
    <row r="8" spans="1:8" x14ac:dyDescent="0.2">
      <c r="A8" s="62" t="s">
        <v>1135</v>
      </c>
    </row>
    <row r="9" spans="1:8" x14ac:dyDescent="0.2">
      <c r="A9" s="62" t="s">
        <v>1201</v>
      </c>
    </row>
    <row r="10" spans="1:8" x14ac:dyDescent="0.2">
      <c r="A10" s="62" t="s">
        <v>1202</v>
      </c>
    </row>
    <row r="11" spans="1:8" x14ac:dyDescent="0.2">
      <c r="A11" s="62" t="s">
        <v>1136</v>
      </c>
    </row>
    <row r="12" spans="1:8" x14ac:dyDescent="0.2">
      <c r="A12" s="62" t="s">
        <v>1137</v>
      </c>
    </row>
    <row r="13" spans="1:8" x14ac:dyDescent="0.2">
      <c r="A13" s="62" t="s">
        <v>1138</v>
      </c>
    </row>
    <row r="14" spans="1:8" ht="17" thickBot="1" x14ac:dyDescent="0.25"/>
    <row r="15" spans="1:8" ht="17" thickBot="1" x14ac:dyDescent="0.25">
      <c r="A15" s="156" t="s">
        <v>1139</v>
      </c>
      <c r="B15" s="157"/>
      <c r="C15" s="157"/>
      <c r="D15" s="157"/>
      <c r="E15" s="157"/>
      <c r="F15" s="157"/>
      <c r="G15" s="157"/>
      <c r="H15" s="158"/>
    </row>
    <row r="17" spans="1:7" x14ac:dyDescent="0.2">
      <c r="A17" s="62" t="s">
        <v>1153</v>
      </c>
    </row>
    <row r="18" spans="1:7" x14ac:dyDescent="0.2">
      <c r="A18" s="62" t="s">
        <v>1140</v>
      </c>
    </row>
    <row r="19" spans="1:7" x14ac:dyDescent="0.2">
      <c r="A19" s="62" t="s">
        <v>1141</v>
      </c>
    </row>
    <row r="20" spans="1:7" x14ac:dyDescent="0.2">
      <c r="A20" s="62" t="s">
        <v>1142</v>
      </c>
    </row>
    <row r="21" spans="1:7" x14ac:dyDescent="0.2">
      <c r="A21" s="62" t="s">
        <v>1143</v>
      </c>
    </row>
    <row r="23" spans="1:7" x14ac:dyDescent="0.2">
      <c r="A23" s="62" t="s">
        <v>1157</v>
      </c>
    </row>
    <row r="24" spans="1:7" x14ac:dyDescent="0.2">
      <c r="G24" s="1" t="s">
        <v>2252</v>
      </c>
    </row>
    <row r="25" spans="1:7" ht="17" thickBot="1" x14ac:dyDescent="0.25">
      <c r="A25" s="62" t="s">
        <v>1251</v>
      </c>
    </row>
    <row r="26" spans="1:7" x14ac:dyDescent="0.2">
      <c r="C26" s="300" t="s">
        <v>2253</v>
      </c>
      <c r="D26" s="301" t="s">
        <v>48</v>
      </c>
      <c r="E26" s="300" t="s">
        <v>2253</v>
      </c>
      <c r="F26" s="301" t="s">
        <v>48</v>
      </c>
    </row>
    <row r="27" spans="1:7" x14ac:dyDescent="0.2">
      <c r="C27" s="217" t="s">
        <v>1206</v>
      </c>
      <c r="D27" s="218" t="s">
        <v>1207</v>
      </c>
      <c r="E27" s="217" t="s">
        <v>1208</v>
      </c>
      <c r="F27" s="218" t="s">
        <v>1209</v>
      </c>
    </row>
    <row r="28" spans="1:7" x14ac:dyDescent="0.2">
      <c r="B28" s="21" t="s">
        <v>212</v>
      </c>
      <c r="C28" s="217" t="s">
        <v>213</v>
      </c>
      <c r="D28" s="218" t="s">
        <v>213</v>
      </c>
      <c r="E28" s="217" t="s">
        <v>213</v>
      </c>
      <c r="F28" s="218" t="s">
        <v>213</v>
      </c>
    </row>
    <row r="29" spans="1:7" x14ac:dyDescent="0.2">
      <c r="B29" s="21" t="s">
        <v>1203</v>
      </c>
      <c r="C29" s="217" t="s">
        <v>77</v>
      </c>
      <c r="D29" s="218" t="s">
        <v>77</v>
      </c>
      <c r="E29" s="217" t="s">
        <v>77</v>
      </c>
      <c r="F29" s="218" t="s">
        <v>77</v>
      </c>
    </row>
    <row r="30" spans="1:7" x14ac:dyDescent="0.2">
      <c r="B30" s="75" t="s">
        <v>71</v>
      </c>
      <c r="C30" s="306" t="s">
        <v>2254</v>
      </c>
      <c r="D30" s="307" t="s">
        <v>1204</v>
      </c>
      <c r="E30" s="306" t="s">
        <v>2255</v>
      </c>
      <c r="F30" s="307" t="s">
        <v>1205</v>
      </c>
    </row>
    <row r="31" spans="1:7" x14ac:dyDescent="0.2">
      <c r="B31" s="21">
        <v>50</v>
      </c>
      <c r="C31" s="217">
        <f t="shared" ref="C31:C36" si="0">0-20</f>
        <v>-20</v>
      </c>
      <c r="D31" s="218">
        <f>20</f>
        <v>20</v>
      </c>
      <c r="E31" s="217">
        <f>100-50-20</f>
        <v>30</v>
      </c>
      <c r="F31" s="218">
        <f>-100+50+20</f>
        <v>-30</v>
      </c>
    </row>
    <row r="32" spans="1:7" x14ac:dyDescent="0.2">
      <c r="B32" s="21">
        <v>60</v>
      </c>
      <c r="C32" s="217">
        <f t="shared" si="0"/>
        <v>-20</v>
      </c>
      <c r="D32" s="218">
        <f>20</f>
        <v>20</v>
      </c>
      <c r="E32" s="217">
        <f>100-60-20</f>
        <v>20</v>
      </c>
      <c r="F32" s="218">
        <f>-100+60+20</f>
        <v>-20</v>
      </c>
    </row>
    <row r="33" spans="1:8" x14ac:dyDescent="0.2">
      <c r="B33" s="21">
        <v>70</v>
      </c>
      <c r="C33" s="217">
        <f t="shared" si="0"/>
        <v>-20</v>
      </c>
      <c r="D33" s="218">
        <f>20</f>
        <v>20</v>
      </c>
      <c r="E33" s="217">
        <f>100-70-20</f>
        <v>10</v>
      </c>
      <c r="F33" s="218">
        <f>-100+70+20</f>
        <v>-10</v>
      </c>
    </row>
    <row r="34" spans="1:8" x14ac:dyDescent="0.2">
      <c r="B34" s="21">
        <v>80</v>
      </c>
      <c r="C34" s="217">
        <f t="shared" si="0"/>
        <v>-20</v>
      </c>
      <c r="D34" s="218">
        <f>20</f>
        <v>20</v>
      </c>
      <c r="E34" s="217">
        <f>100-80-20</f>
        <v>0</v>
      </c>
      <c r="F34" s="218">
        <f>-100+80+20</f>
        <v>0</v>
      </c>
    </row>
    <row r="35" spans="1:8" x14ac:dyDescent="0.2">
      <c r="B35" s="21">
        <v>90</v>
      </c>
      <c r="C35" s="217">
        <f t="shared" si="0"/>
        <v>-20</v>
      </c>
      <c r="D35" s="218">
        <f>20</f>
        <v>20</v>
      </c>
      <c r="E35" s="217">
        <f>100-90-20</f>
        <v>-10</v>
      </c>
      <c r="F35" s="218">
        <f>-100+90+20</f>
        <v>10</v>
      </c>
    </row>
    <row r="36" spans="1:8" x14ac:dyDescent="0.2">
      <c r="B36" s="21">
        <v>100</v>
      </c>
      <c r="C36" s="217">
        <f t="shared" si="0"/>
        <v>-20</v>
      </c>
      <c r="D36" s="218">
        <f>20</f>
        <v>20</v>
      </c>
      <c r="E36" s="217">
        <v>-20</v>
      </c>
      <c r="F36" s="218">
        <f>20</f>
        <v>20</v>
      </c>
    </row>
    <row r="37" spans="1:8" x14ac:dyDescent="0.2">
      <c r="B37" s="21">
        <v>110</v>
      </c>
      <c r="C37" s="217">
        <f>110-100-20</f>
        <v>-10</v>
      </c>
      <c r="D37" s="218">
        <f>100-110+20</f>
        <v>10</v>
      </c>
      <c r="E37" s="217">
        <v>-20</v>
      </c>
      <c r="F37" s="218">
        <f>20</f>
        <v>20</v>
      </c>
    </row>
    <row r="38" spans="1:8" x14ac:dyDescent="0.2">
      <c r="B38" s="21">
        <v>120</v>
      </c>
      <c r="C38" s="217">
        <f>120-100-20</f>
        <v>0</v>
      </c>
      <c r="D38" s="218">
        <f>100-120+20</f>
        <v>0</v>
      </c>
      <c r="E38" s="217">
        <v>-20</v>
      </c>
      <c r="F38" s="218">
        <f>20</f>
        <v>20</v>
      </c>
    </row>
    <row r="39" spans="1:8" x14ac:dyDescent="0.2">
      <c r="B39" s="21">
        <v>130</v>
      </c>
      <c r="C39" s="217">
        <f>130-100-20</f>
        <v>10</v>
      </c>
      <c r="D39" s="218">
        <f>100-130+20</f>
        <v>-10</v>
      </c>
      <c r="E39" s="217">
        <v>-20</v>
      </c>
      <c r="F39" s="218">
        <f>20</f>
        <v>20</v>
      </c>
    </row>
    <row r="40" spans="1:8" x14ac:dyDescent="0.2">
      <c r="B40" s="21">
        <v>140</v>
      </c>
      <c r="C40" s="217">
        <f>140-100-20</f>
        <v>20</v>
      </c>
      <c r="D40" s="218">
        <f>100-140+20</f>
        <v>-20</v>
      </c>
      <c r="E40" s="217">
        <v>-20</v>
      </c>
      <c r="F40" s="218">
        <f>20</f>
        <v>20</v>
      </c>
    </row>
    <row r="41" spans="1:8" ht="17" thickBot="1" x14ac:dyDescent="0.25">
      <c r="B41" s="21">
        <v>150</v>
      </c>
      <c r="C41" s="308">
        <f>150-100-20</f>
        <v>30</v>
      </c>
      <c r="D41" s="309">
        <f>100-150+20</f>
        <v>-30</v>
      </c>
      <c r="E41" s="308">
        <v>-20</v>
      </c>
      <c r="F41" s="309">
        <f>20</f>
        <v>20</v>
      </c>
    </row>
    <row r="43" spans="1:8" x14ac:dyDescent="0.2">
      <c r="A43" s="165" t="s">
        <v>1249</v>
      </c>
      <c r="H43" s="4" t="s">
        <v>1250</v>
      </c>
    </row>
    <row r="44" spans="1:8" x14ac:dyDescent="0.2">
      <c r="A44" s="62" t="s">
        <v>1210</v>
      </c>
      <c r="H44" s="1" t="s">
        <v>1219</v>
      </c>
    </row>
    <row r="45" spans="1:8" x14ac:dyDescent="0.2">
      <c r="A45" s="62" t="s">
        <v>1211</v>
      </c>
      <c r="H45" s="1" t="s">
        <v>1211</v>
      </c>
    </row>
    <row r="46" spans="1:8" x14ac:dyDescent="0.2">
      <c r="B46" s="1" t="s">
        <v>1212</v>
      </c>
      <c r="H46" s="1" t="s">
        <v>1220</v>
      </c>
    </row>
    <row r="47" spans="1:8" x14ac:dyDescent="0.2">
      <c r="B47" s="1" t="s">
        <v>1213</v>
      </c>
      <c r="H47" s="1" t="s">
        <v>1221</v>
      </c>
    </row>
    <row r="48" spans="1:8" x14ac:dyDescent="0.2">
      <c r="B48" s="1" t="s">
        <v>1214</v>
      </c>
      <c r="H48" s="1" t="s">
        <v>1222</v>
      </c>
    </row>
    <row r="49" spans="1:8" x14ac:dyDescent="0.2">
      <c r="B49" s="1" t="s">
        <v>1215</v>
      </c>
      <c r="H49" s="1" t="s">
        <v>1223</v>
      </c>
    </row>
    <row r="50" spans="1:8" x14ac:dyDescent="0.2">
      <c r="B50" s="1" t="s">
        <v>1216</v>
      </c>
      <c r="H50" s="1" t="s">
        <v>1224</v>
      </c>
    </row>
    <row r="51" spans="1:8" x14ac:dyDescent="0.2">
      <c r="B51" s="1" t="s">
        <v>1217</v>
      </c>
      <c r="H51" s="1" t="s">
        <v>1225</v>
      </c>
    </row>
    <row r="52" spans="1:8" x14ac:dyDescent="0.2">
      <c r="B52" s="1" t="s">
        <v>1218</v>
      </c>
    </row>
    <row r="53" spans="1:8" ht="17" thickBot="1" x14ac:dyDescent="0.25"/>
    <row r="54" spans="1:8" ht="17" thickBot="1" x14ac:dyDescent="0.25">
      <c r="A54" s="156" t="s">
        <v>1144</v>
      </c>
      <c r="B54" s="157"/>
      <c r="C54" s="157"/>
      <c r="D54" s="157"/>
      <c r="E54" s="157"/>
      <c r="F54" s="157"/>
      <c r="G54" s="157"/>
      <c r="H54" s="158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1145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1146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1147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1226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1227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1228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1229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61" t="s">
        <v>1230</v>
      </c>
      <c r="B66" s="1" t="s">
        <v>1232</v>
      </c>
    </row>
    <row r="67" spans="1:8" x14ac:dyDescent="0.2">
      <c r="B67" s="1" t="s">
        <v>1231</v>
      </c>
    </row>
    <row r="68" spans="1:8" x14ac:dyDescent="0.2">
      <c r="A68" s="165" t="s">
        <v>2256</v>
      </c>
    </row>
    <row r="71" spans="1:8" ht="17" thickBot="1" x14ac:dyDescent="0.25"/>
    <row r="72" spans="1:8" ht="17" thickBot="1" x14ac:dyDescent="0.25">
      <c r="A72" s="15" t="s">
        <v>1148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263</v>
      </c>
    </row>
    <row r="74" spans="1:8" x14ac:dyDescent="0.2">
      <c r="A74" s="4" t="s">
        <v>264</v>
      </c>
    </row>
    <row r="75" spans="1:8" x14ac:dyDescent="0.2">
      <c r="A75" s="1" t="s">
        <v>265</v>
      </c>
    </row>
    <row r="76" spans="1:8" x14ac:dyDescent="0.2">
      <c r="A76" s="1" t="s">
        <v>266</v>
      </c>
    </row>
    <row r="77" spans="1:8" x14ac:dyDescent="0.2">
      <c r="A77" s="1" t="s">
        <v>267</v>
      </c>
    </row>
    <row r="78" spans="1:8" x14ac:dyDescent="0.2">
      <c r="A78" s="1" t="s">
        <v>268</v>
      </c>
    </row>
    <row r="79" spans="1:8" ht="17" thickBot="1" x14ac:dyDescent="0.25">
      <c r="A79" s="1"/>
    </row>
    <row r="80" spans="1:8" s="25" customFormat="1" x14ac:dyDescent="0.2">
      <c r="A80" s="22" t="s">
        <v>269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1233</v>
      </c>
      <c r="H81" s="27"/>
    </row>
    <row r="82" spans="1:8" s="25" customFormat="1" x14ac:dyDescent="0.2">
      <c r="A82" s="26" t="s">
        <v>1234</v>
      </c>
      <c r="H82" s="27"/>
    </row>
    <row r="83" spans="1:8" s="25" customFormat="1" x14ac:dyDescent="0.2">
      <c r="A83" s="164" t="s">
        <v>282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1235</v>
      </c>
      <c r="H85" s="27"/>
    </row>
    <row r="86" spans="1:8" s="25" customFormat="1" ht="17" customHeight="1" thickBot="1" x14ac:dyDescent="0.25">
      <c r="A86" s="28" t="s">
        <v>1236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5" t="s">
        <v>1237</v>
      </c>
    </row>
    <row r="89" spans="1:8" x14ac:dyDescent="0.2">
      <c r="A89" s="165" t="s">
        <v>1238</v>
      </c>
    </row>
    <row r="91" spans="1:8" x14ac:dyDescent="0.2">
      <c r="A91" s="311" t="s">
        <v>2257</v>
      </c>
      <c r="B91" s="310"/>
      <c r="C91" s="310"/>
      <c r="D91" s="310"/>
      <c r="E91" s="310"/>
      <c r="F91" s="310"/>
      <c r="G91" s="310"/>
      <c r="H91" s="310"/>
    </row>
    <row r="92" spans="1:8" x14ac:dyDescent="0.2">
      <c r="A92" s="62" t="s">
        <v>2258</v>
      </c>
    </row>
    <row r="93" spans="1:8" x14ac:dyDescent="0.2">
      <c r="A93" s="62" t="s">
        <v>2259</v>
      </c>
      <c r="F93" s="1" t="s">
        <v>2263</v>
      </c>
    </row>
    <row r="95" spans="1:8" x14ac:dyDescent="0.2">
      <c r="B95" s="21" t="s">
        <v>2265</v>
      </c>
      <c r="C95" s="21" t="s">
        <v>2266</v>
      </c>
      <c r="D95" s="21" t="s">
        <v>2267</v>
      </c>
    </row>
    <row r="96" spans="1:8" x14ac:dyDescent="0.2">
      <c r="A96" s="161" t="s">
        <v>1282</v>
      </c>
      <c r="B96" s="21" t="s">
        <v>280</v>
      </c>
      <c r="C96" s="21" t="s">
        <v>280</v>
      </c>
      <c r="D96" s="21" t="s">
        <v>2260</v>
      </c>
      <c r="F96" s="1" t="s">
        <v>2268</v>
      </c>
    </row>
    <row r="97" spans="1:6" x14ac:dyDescent="0.2">
      <c r="A97" s="161" t="s">
        <v>2262</v>
      </c>
      <c r="B97" s="21" t="s">
        <v>2264</v>
      </c>
      <c r="C97" s="21" t="s">
        <v>2264</v>
      </c>
      <c r="D97" s="21" t="s">
        <v>2261</v>
      </c>
      <c r="F97" s="1" t="s">
        <v>2269</v>
      </c>
    </row>
    <row r="98" spans="1:6" x14ac:dyDescent="0.2">
      <c r="A98" s="162" t="s">
        <v>71</v>
      </c>
      <c r="B98" s="75" t="s">
        <v>392</v>
      </c>
      <c r="C98" s="75" t="s">
        <v>390</v>
      </c>
      <c r="D98" s="75" t="s">
        <v>1018</v>
      </c>
      <c r="F98" s="1" t="s">
        <v>2270</v>
      </c>
    </row>
    <row r="99" spans="1:6" x14ac:dyDescent="0.2">
      <c r="A99" s="161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2271</v>
      </c>
    </row>
    <row r="100" spans="1:6" x14ac:dyDescent="0.2">
      <c r="A100" s="161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61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61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61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312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61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61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61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61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61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6" t="s">
        <v>1239</v>
      </c>
      <c r="B114" s="167"/>
      <c r="C114" s="167"/>
      <c r="D114" s="167"/>
      <c r="E114" s="167"/>
      <c r="F114" s="167"/>
      <c r="G114" s="167"/>
      <c r="H114" s="168"/>
    </row>
    <row r="116" spans="1:8" x14ac:dyDescent="0.2">
      <c r="A116" s="62" t="s">
        <v>1240</v>
      </c>
    </row>
    <row r="117" spans="1:8" x14ac:dyDescent="0.2">
      <c r="A117" s="62" t="s">
        <v>1241</v>
      </c>
    </row>
    <row r="118" spans="1:8" x14ac:dyDescent="0.2">
      <c r="A118" s="62" t="s">
        <v>1246</v>
      </c>
    </row>
    <row r="119" spans="1:8" x14ac:dyDescent="0.2">
      <c r="A119" s="62" t="s">
        <v>1242</v>
      </c>
    </row>
    <row r="120" spans="1:8" x14ac:dyDescent="0.2">
      <c r="A120" s="62" t="s">
        <v>1243</v>
      </c>
    </row>
    <row r="121" spans="1:8" x14ac:dyDescent="0.2">
      <c r="A121" s="62" t="s">
        <v>1244</v>
      </c>
    </row>
    <row r="122" spans="1:8" x14ac:dyDescent="0.2">
      <c r="A122" s="62" t="s">
        <v>1245</v>
      </c>
    </row>
    <row r="126" spans="1:8" ht="17" thickBot="1" x14ac:dyDescent="0.25">
      <c r="A126" s="1"/>
    </row>
    <row r="127" spans="1:8" ht="17" thickBot="1" x14ac:dyDescent="0.25">
      <c r="A127" s="142" t="s">
        <v>2273</v>
      </c>
      <c r="B127" s="143"/>
      <c r="C127" s="143"/>
      <c r="D127" s="143"/>
      <c r="E127" s="143"/>
      <c r="F127" s="143"/>
      <c r="G127" s="143"/>
      <c r="H127" s="144"/>
    </row>
    <row r="128" spans="1:8" x14ac:dyDescent="0.2">
      <c r="A128" s="1"/>
    </row>
    <row r="129" spans="1:8" x14ac:dyDescent="0.2">
      <c r="A129" s="1" t="s">
        <v>1064</v>
      </c>
    </row>
    <row r="130" spans="1:8" x14ac:dyDescent="0.2">
      <c r="A130" s="1" t="s">
        <v>1065</v>
      </c>
    </row>
    <row r="131" spans="1:8" x14ac:dyDescent="0.2">
      <c r="A131" s="1" t="s">
        <v>1066</v>
      </c>
    </row>
    <row r="132" spans="1:8" x14ac:dyDescent="0.2">
      <c r="A132" s="1"/>
    </row>
    <row r="133" spans="1:8" x14ac:dyDescent="0.2">
      <c r="A133" s="1" t="s">
        <v>1067</v>
      </c>
    </row>
    <row r="134" spans="1:8" x14ac:dyDescent="0.2">
      <c r="A134" s="1" t="s">
        <v>1068</v>
      </c>
    </row>
    <row r="135" spans="1:8" x14ac:dyDescent="0.2">
      <c r="A135" s="1" t="s">
        <v>1069</v>
      </c>
    </row>
    <row r="136" spans="1:8" x14ac:dyDescent="0.2">
      <c r="A136" s="1" t="s">
        <v>1070</v>
      </c>
    </row>
    <row r="137" spans="1:8" x14ac:dyDescent="0.2">
      <c r="A137" s="1"/>
    </row>
    <row r="138" spans="1:8" x14ac:dyDescent="0.2">
      <c r="A138" s="4" t="s">
        <v>1032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1071</v>
      </c>
    </row>
    <row r="140" spans="1:8" x14ac:dyDescent="0.2">
      <c r="A140" s="1" t="s">
        <v>1072</v>
      </c>
    </row>
    <row r="141" spans="1:8" x14ac:dyDescent="0.2">
      <c r="A141" s="1" t="s">
        <v>1073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1074</v>
      </c>
      <c r="F144" s="1" t="s">
        <v>1075</v>
      </c>
    </row>
    <row r="145" spans="1:9" x14ac:dyDescent="0.2">
      <c r="A145" s="1"/>
      <c r="B145" s="1" t="s">
        <v>1076</v>
      </c>
      <c r="G145" s="1" t="s">
        <v>1077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343</v>
      </c>
    </row>
    <row r="147" spans="1:9" x14ac:dyDescent="0.2">
      <c r="A147" s="75" t="s">
        <v>71</v>
      </c>
      <c r="B147" s="75" t="s">
        <v>239</v>
      </c>
      <c r="C147" s="1" t="s">
        <v>1090</v>
      </c>
      <c r="F147" s="21" t="s">
        <v>71</v>
      </c>
      <c r="G147" s="21" t="s">
        <v>239</v>
      </c>
      <c r="I147" s="1" t="s">
        <v>1078</v>
      </c>
    </row>
    <row r="148" spans="1:9" x14ac:dyDescent="0.2">
      <c r="A148" s="21">
        <v>40</v>
      </c>
      <c r="B148" s="21">
        <f>100-A148</f>
        <v>60</v>
      </c>
      <c r="C148" s="1" t="s">
        <v>1091</v>
      </c>
      <c r="F148" s="21">
        <v>40</v>
      </c>
      <c r="G148" s="21">
        <v>0</v>
      </c>
      <c r="I148" s="1" t="s">
        <v>1079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1092</v>
      </c>
      <c r="F149" s="21">
        <f t="shared" ref="F149:F158" si="3">F148+10</f>
        <v>50</v>
      </c>
      <c r="G149" s="21">
        <v>0</v>
      </c>
      <c r="I149" s="1" t="s">
        <v>1080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1081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1093</v>
      </c>
      <c r="F151" s="21">
        <f t="shared" si="3"/>
        <v>70</v>
      </c>
      <c r="G151" s="21">
        <v>0</v>
      </c>
      <c r="I151" s="1" t="s">
        <v>1082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1094</v>
      </c>
      <c r="F152" s="21">
        <f t="shared" si="3"/>
        <v>80</v>
      </c>
      <c r="G152" s="21">
        <v>0</v>
      </c>
      <c r="I152" s="1" t="s">
        <v>1083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1095</v>
      </c>
      <c r="F153" s="21">
        <f t="shared" si="3"/>
        <v>90</v>
      </c>
      <c r="G153" s="21">
        <v>0</v>
      </c>
      <c r="I153" s="1" t="s">
        <v>1084</v>
      </c>
    </row>
    <row r="154" spans="1:9" x14ac:dyDescent="0.2">
      <c r="A154" s="21">
        <f t="shared" si="2"/>
        <v>100</v>
      </c>
      <c r="B154" s="21">
        <v>0</v>
      </c>
      <c r="C154" s="1" t="s">
        <v>1096</v>
      </c>
      <c r="F154" s="21">
        <f t="shared" si="3"/>
        <v>100</v>
      </c>
      <c r="G154" s="21">
        <v>0</v>
      </c>
      <c r="I154" s="1" t="s">
        <v>1085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1086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1087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1088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1089</v>
      </c>
    </row>
    <row r="159" spans="1:9" ht="17" thickBot="1" x14ac:dyDescent="0.25">
      <c r="A159" s="1"/>
    </row>
    <row r="160" spans="1:9" ht="17" thickBot="1" x14ac:dyDescent="0.25">
      <c r="A160" s="142" t="s">
        <v>2274</v>
      </c>
      <c r="B160" s="143"/>
      <c r="C160" s="143"/>
      <c r="D160" s="143"/>
      <c r="E160" s="143"/>
      <c r="F160" s="143"/>
      <c r="G160" s="143"/>
      <c r="H160" s="144"/>
    </row>
    <row r="161" spans="1:6" x14ac:dyDescent="0.2">
      <c r="A161" s="1" t="s">
        <v>1098</v>
      </c>
    </row>
    <row r="162" spans="1:6" x14ac:dyDescent="0.2">
      <c r="A162" s="1" t="s">
        <v>1101</v>
      </c>
    </row>
    <row r="163" spans="1:6" x14ac:dyDescent="0.2">
      <c r="A163" s="1"/>
    </row>
    <row r="164" spans="1:6" x14ac:dyDescent="0.2">
      <c r="A164" s="1" t="s">
        <v>1099</v>
      </c>
    </row>
    <row r="165" spans="1:6" x14ac:dyDescent="0.2">
      <c r="A165" s="1" t="s">
        <v>1100</v>
      </c>
    </row>
    <row r="166" spans="1:6" x14ac:dyDescent="0.2">
      <c r="A166" s="1" t="s">
        <v>1115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8" t="s">
        <v>1037</v>
      </c>
    </row>
    <row r="171" spans="1:6" x14ac:dyDescent="0.2">
      <c r="A171" s="1" t="s">
        <v>1102</v>
      </c>
    </row>
    <row r="172" spans="1:6" x14ac:dyDescent="0.2">
      <c r="A172" s="1" t="s">
        <v>1103</v>
      </c>
    </row>
    <row r="173" spans="1:6" x14ac:dyDescent="0.2">
      <c r="A173" s="1" t="s">
        <v>1104</v>
      </c>
    </row>
    <row r="174" spans="1:6" x14ac:dyDescent="0.2">
      <c r="A174" s="1" t="s">
        <v>1105</v>
      </c>
      <c r="E174" s="149">
        <v>150</v>
      </c>
      <c r="F174" s="149" t="s">
        <v>1018</v>
      </c>
    </row>
    <row r="175" spans="1:6" ht="17" thickBot="1" x14ac:dyDescent="0.25">
      <c r="A175" s="1"/>
    </row>
    <row r="176" spans="1:6" ht="17" thickBot="1" x14ac:dyDescent="0.25">
      <c r="A176" s="148" t="s">
        <v>1051</v>
      </c>
    </row>
    <row r="177" spans="1:8" x14ac:dyDescent="0.2">
      <c r="A177" s="1" t="s">
        <v>1106</v>
      </c>
    </row>
    <row r="178" spans="1:8" x14ac:dyDescent="0.2">
      <c r="A178" s="1" t="s">
        <v>1107</v>
      </c>
    </row>
    <row r="179" spans="1:8" x14ac:dyDescent="0.2">
      <c r="A179" s="1" t="s">
        <v>1108</v>
      </c>
    </row>
    <row r="180" spans="1:8" x14ac:dyDescent="0.2">
      <c r="A180" s="1"/>
      <c r="F180" s="1" t="s">
        <v>1109</v>
      </c>
      <c r="H180" s="1" t="s">
        <v>1111</v>
      </c>
    </row>
    <row r="181" spans="1:8" x14ac:dyDescent="0.2">
      <c r="A181" s="1"/>
      <c r="F181" s="1" t="s">
        <v>1110</v>
      </c>
    </row>
    <row r="182" spans="1:8" ht="17" thickBot="1" x14ac:dyDescent="0.25">
      <c r="A182" s="1"/>
    </row>
    <row r="183" spans="1:8" ht="17" thickBot="1" x14ac:dyDescent="0.25">
      <c r="A183" s="148" t="s">
        <v>1112</v>
      </c>
    </row>
    <row r="184" spans="1:8" x14ac:dyDescent="0.2">
      <c r="A184" s="128"/>
      <c r="F184" s="1" t="s">
        <v>1113</v>
      </c>
    </row>
    <row r="185" spans="1:8" x14ac:dyDescent="0.2">
      <c r="A185" s="128"/>
      <c r="F185" s="4" t="s">
        <v>1114</v>
      </c>
    </row>
    <row r="186" spans="1:8" x14ac:dyDescent="0.2">
      <c r="A186" s="1"/>
    </row>
    <row r="256" spans="1:1" x14ac:dyDescent="0.2">
      <c r="A256" s="165" t="s">
        <v>1247</v>
      </c>
    </row>
    <row r="257" spans="1:8" x14ac:dyDescent="0.2">
      <c r="A257" s="165" t="s">
        <v>1248</v>
      </c>
    </row>
    <row r="261" spans="1:8" ht="21" x14ac:dyDescent="0.25">
      <c r="A261" s="170" t="s">
        <v>1975</v>
      </c>
      <c r="B261" s="153"/>
      <c r="C261" s="153"/>
      <c r="D261" s="153"/>
      <c r="E261" s="153"/>
      <c r="F261" s="153"/>
      <c r="G261" s="153"/>
      <c r="H261" s="153"/>
    </row>
    <row r="267" spans="1:8" ht="17" thickBot="1" x14ac:dyDescent="0.25"/>
    <row r="268" spans="1:8" ht="17" thickBot="1" x14ac:dyDescent="0.25">
      <c r="A268" s="15" t="s">
        <v>1252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1032</v>
      </c>
    </row>
    <row r="270" spans="1:8" x14ac:dyDescent="0.2">
      <c r="A270" s="1" t="s">
        <v>284</v>
      </c>
    </row>
    <row r="271" spans="1:8" x14ac:dyDescent="0.2">
      <c r="A271" s="1" t="s">
        <v>204</v>
      </c>
    </row>
    <row r="272" spans="1:8" x14ac:dyDescent="0.2">
      <c r="A272" s="1" t="s">
        <v>1149</v>
      </c>
    </row>
    <row r="273" spans="1:8" x14ac:dyDescent="0.2">
      <c r="A273" s="1"/>
    </row>
    <row r="274" spans="1:8" x14ac:dyDescent="0.2">
      <c r="A274" s="4" t="s">
        <v>1974</v>
      </c>
    </row>
    <row r="275" spans="1:8" x14ac:dyDescent="0.2">
      <c r="A275" s="32" t="s">
        <v>283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5"/>
      <c r="G276" s="155"/>
      <c r="H276" s="155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5"/>
      <c r="G277" s="155"/>
      <c r="H277" s="155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1253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309</v>
      </c>
    </row>
    <row r="288" spans="1:8" x14ac:dyDescent="0.2">
      <c r="A288" s="1" t="s">
        <v>310</v>
      </c>
    </row>
    <row r="289" spans="1:8" x14ac:dyDescent="0.2">
      <c r="A289" s="1" t="s">
        <v>311</v>
      </c>
    </row>
    <row r="290" spans="1:8" x14ac:dyDescent="0.2">
      <c r="A290" s="1" t="s">
        <v>312</v>
      </c>
    </row>
    <row r="291" spans="1:8" x14ac:dyDescent="0.2">
      <c r="A291" s="1" t="s">
        <v>313</v>
      </c>
    </row>
    <row r="292" spans="1:8" x14ac:dyDescent="0.2">
      <c r="A292" s="1" t="s">
        <v>314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315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316</v>
      </c>
      <c r="H297" s="27"/>
    </row>
    <row r="298" spans="1:8" s="25" customFormat="1" x14ac:dyDescent="0.2">
      <c r="A298" s="26" t="s">
        <v>317</v>
      </c>
      <c r="H298" s="27"/>
    </row>
    <row r="299" spans="1:8" s="25" customFormat="1" x14ac:dyDescent="0.2">
      <c r="A299" s="26" t="s">
        <v>318</v>
      </c>
      <c r="H299" s="27"/>
    </row>
    <row r="300" spans="1:8" s="25" customFormat="1" x14ac:dyDescent="0.2">
      <c r="A300" s="26" t="s">
        <v>319</v>
      </c>
      <c r="H300" s="27"/>
    </row>
    <row r="301" spans="1:8" s="25" customFormat="1" x14ac:dyDescent="0.2">
      <c r="A301" s="26" t="s">
        <v>320</v>
      </c>
      <c r="H301" s="27"/>
    </row>
    <row r="302" spans="1:8" s="25" customFormat="1" x14ac:dyDescent="0.2">
      <c r="A302" s="26" t="s">
        <v>321</v>
      </c>
      <c r="H302" s="27"/>
    </row>
    <row r="303" spans="1:8" s="25" customFormat="1" ht="17" thickBot="1" x14ac:dyDescent="0.25">
      <c r="A303" s="28" t="s">
        <v>322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9"/>
    </row>
    <row r="306" spans="1:8" ht="17" thickBot="1" x14ac:dyDescent="0.25"/>
    <row r="307" spans="1:8" ht="17" thickBot="1" x14ac:dyDescent="0.25">
      <c r="A307" s="15" t="s">
        <v>1116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330</v>
      </c>
    </row>
    <row r="309" spans="1:8" x14ac:dyDescent="0.2">
      <c r="A309" s="48" t="s">
        <v>331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332</v>
      </c>
      <c r="C313" s="1" t="s">
        <v>333</v>
      </c>
    </row>
    <row r="314" spans="1:8" x14ac:dyDescent="0.2">
      <c r="A314" s="1" t="s">
        <v>334</v>
      </c>
      <c r="C314" s="1">
        <f>3.8-3.2</f>
        <v>0.59999999999999964</v>
      </c>
    </row>
    <row r="315" spans="1:8" x14ac:dyDescent="0.2">
      <c r="A315" s="1" t="s">
        <v>335</v>
      </c>
      <c r="C315" s="55">
        <v>10000</v>
      </c>
    </row>
    <row r="316" spans="1:8" x14ac:dyDescent="0.2">
      <c r="A316" s="1" t="s">
        <v>336</v>
      </c>
      <c r="C316" s="1">
        <f>C314*C315</f>
        <v>5999.9999999999964</v>
      </c>
    </row>
    <row r="317" spans="1:8" x14ac:dyDescent="0.2">
      <c r="A317" s="1" t="s">
        <v>337</v>
      </c>
      <c r="C317" s="1">
        <v>-2200</v>
      </c>
    </row>
    <row r="318" spans="1:8" x14ac:dyDescent="0.2">
      <c r="A318" s="1" t="s">
        <v>338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1117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323</v>
      </c>
    </row>
    <row r="322" spans="1:5" x14ac:dyDescent="0.2">
      <c r="A322" s="1" t="s">
        <v>324</v>
      </c>
    </row>
    <row r="323" spans="1:5" x14ac:dyDescent="0.2">
      <c r="A323" s="1" t="s">
        <v>326</v>
      </c>
    </row>
    <row r="324" spans="1:5" x14ac:dyDescent="0.2">
      <c r="A324" s="1"/>
    </row>
    <row r="325" spans="1:5" x14ac:dyDescent="0.2">
      <c r="A325" s="1"/>
      <c r="B325" s="345" t="s">
        <v>328</v>
      </c>
      <c r="C325" s="345"/>
      <c r="D325" s="352" t="s">
        <v>329</v>
      </c>
      <c r="E325" s="352"/>
    </row>
    <row r="326" spans="1:5" ht="34" x14ac:dyDescent="0.2">
      <c r="A326" s="21" t="s">
        <v>71</v>
      </c>
      <c r="B326" s="56" t="s">
        <v>325</v>
      </c>
      <c r="C326" s="56" t="s">
        <v>327</v>
      </c>
      <c r="D326" s="56" t="s">
        <v>325</v>
      </c>
      <c r="E326" s="56" t="s">
        <v>327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51" t="s">
        <v>1118</v>
      </c>
      <c r="B341" s="51"/>
      <c r="C341" s="51"/>
      <c r="D341" s="51"/>
      <c r="E341" s="51"/>
      <c r="F341" s="51"/>
      <c r="G341" s="150"/>
      <c r="H341" s="152"/>
      <c r="I341" s="53"/>
    </row>
    <row r="342" spans="1:9" x14ac:dyDescent="0.2">
      <c r="A342" s="1"/>
    </row>
    <row r="343" spans="1:9" x14ac:dyDescent="0.2">
      <c r="A343" s="1" t="s">
        <v>1119</v>
      </c>
    </row>
    <row r="344" spans="1:9" x14ac:dyDescent="0.2">
      <c r="A344" s="1" t="s">
        <v>1120</v>
      </c>
    </row>
    <row r="345" spans="1:9" x14ac:dyDescent="0.2">
      <c r="A345" s="1" t="s">
        <v>1121</v>
      </c>
    </row>
    <row r="346" spans="1:9" x14ac:dyDescent="0.2">
      <c r="A346" s="1" t="s">
        <v>1122</v>
      </c>
    </row>
    <row r="347" spans="1:9" x14ac:dyDescent="0.2">
      <c r="A347" s="1"/>
    </row>
    <row r="348" spans="1:9" x14ac:dyDescent="0.2">
      <c r="A348" s="4" t="s">
        <v>1123</v>
      </c>
    </row>
    <row r="349" spans="1:9" x14ac:dyDescent="0.2">
      <c r="A349" s="1"/>
    </row>
    <row r="350" spans="1:9" x14ac:dyDescent="0.2">
      <c r="A350" s="21" t="s">
        <v>71</v>
      </c>
      <c r="B350" s="21" t="s">
        <v>280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51" t="s">
        <v>1124</v>
      </c>
      <c r="B363" s="51"/>
      <c r="C363" s="51"/>
      <c r="D363" s="51"/>
      <c r="E363" s="51"/>
      <c r="F363" s="51"/>
      <c r="G363" s="150"/>
      <c r="H363" s="152"/>
      <c r="I363" s="53"/>
    </row>
    <row r="364" spans="1:9" x14ac:dyDescent="0.2">
      <c r="A364" s="1"/>
    </row>
    <row r="365" spans="1:9" x14ac:dyDescent="0.2">
      <c r="A365" s="1" t="s">
        <v>1126</v>
      </c>
    </row>
    <row r="366" spans="1:9" x14ac:dyDescent="0.2">
      <c r="A366" s="1" t="s">
        <v>1125</v>
      </c>
    </row>
    <row r="367" spans="1:9" x14ac:dyDescent="0.2">
      <c r="A367" s="1" t="s">
        <v>1127</v>
      </c>
    </row>
    <row r="368" spans="1:9" x14ac:dyDescent="0.2">
      <c r="A368" s="1" t="s">
        <v>1128</v>
      </c>
    </row>
    <row r="369" spans="1:8" x14ac:dyDescent="0.2">
      <c r="A369" s="1" t="s">
        <v>1129</v>
      </c>
    </row>
    <row r="370" spans="1:8" x14ac:dyDescent="0.2">
      <c r="A370" s="1" t="s">
        <v>1130</v>
      </c>
    </row>
    <row r="371" spans="1:8" x14ac:dyDescent="0.2">
      <c r="A371" s="1"/>
    </row>
    <row r="372" spans="1:8" x14ac:dyDescent="0.2">
      <c r="A372" s="1" t="s">
        <v>78</v>
      </c>
      <c r="B372" s="1" t="s">
        <v>1254</v>
      </c>
      <c r="C372" s="1" t="s">
        <v>1255</v>
      </c>
    </row>
    <row r="373" spans="1:8" x14ac:dyDescent="0.2">
      <c r="A373" s="1" t="s">
        <v>1131</v>
      </c>
      <c r="B373" s="1">
        <v>-500</v>
      </c>
      <c r="C373" s="1">
        <f>B373*3</f>
        <v>-1500</v>
      </c>
    </row>
    <row r="374" spans="1:8" x14ac:dyDescent="0.2">
      <c r="A374" s="1" t="s">
        <v>809</v>
      </c>
      <c r="B374" s="1">
        <v>-500</v>
      </c>
      <c r="C374" s="1">
        <f>B374*3</f>
        <v>-1500</v>
      </c>
    </row>
    <row r="375" spans="1:8" x14ac:dyDescent="0.2">
      <c r="A375" s="1" t="s">
        <v>1132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1150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270</v>
      </c>
    </row>
    <row r="380" spans="1:8" x14ac:dyDescent="0.2">
      <c r="A380" s="1" t="s">
        <v>271</v>
      </c>
    </row>
    <row r="381" spans="1:8" x14ac:dyDescent="0.2">
      <c r="A381" s="1" t="s">
        <v>272</v>
      </c>
    </row>
    <row r="382" spans="1:8" x14ac:dyDescent="0.2">
      <c r="A382" s="1" t="s">
        <v>273</v>
      </c>
      <c r="F382" s="1" t="s">
        <v>292</v>
      </c>
    </row>
    <row r="383" spans="1:8" x14ac:dyDescent="0.2">
      <c r="A383" s="1" t="s">
        <v>274</v>
      </c>
    </row>
    <row r="384" spans="1:8" x14ac:dyDescent="0.2">
      <c r="A384" s="1" t="s">
        <v>275</v>
      </c>
    </row>
    <row r="385" spans="1:8" x14ac:dyDescent="0.2">
      <c r="A385" s="1" t="s">
        <v>276</v>
      </c>
    </row>
    <row r="386" spans="1:8" x14ac:dyDescent="0.2">
      <c r="A386" s="1"/>
    </row>
    <row r="387" spans="1:8" x14ac:dyDescent="0.2">
      <c r="A387" s="1" t="s">
        <v>285</v>
      </c>
    </row>
    <row r="388" spans="1:8" x14ac:dyDescent="0.2">
      <c r="A388" s="1" t="s">
        <v>286</v>
      </c>
    </row>
    <row r="389" spans="1:8" x14ac:dyDescent="0.2">
      <c r="A389" s="1"/>
    </row>
    <row r="390" spans="1:8" x14ac:dyDescent="0.2">
      <c r="A390" s="1" t="s">
        <v>287</v>
      </c>
    </row>
    <row r="391" spans="1:8" x14ac:dyDescent="0.2">
      <c r="A391" s="1" t="s">
        <v>289</v>
      </c>
    </row>
    <row r="392" spans="1:8" x14ac:dyDescent="0.2">
      <c r="A392" s="1" t="s">
        <v>288</v>
      </c>
    </row>
    <row r="393" spans="1:8" x14ac:dyDescent="0.2">
      <c r="A393" s="1" t="s">
        <v>290</v>
      </c>
    </row>
    <row r="394" spans="1:8" x14ac:dyDescent="0.2">
      <c r="A394" s="1" t="s">
        <v>291</v>
      </c>
    </row>
    <row r="395" spans="1:8" ht="17" thickBot="1" x14ac:dyDescent="0.25">
      <c r="A395" s="1"/>
    </row>
    <row r="396" spans="1:8" ht="17" thickBot="1" x14ac:dyDescent="0.25">
      <c r="A396" s="15" t="s">
        <v>1151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270</v>
      </c>
    </row>
    <row r="398" spans="1:8" x14ac:dyDescent="0.2">
      <c r="A398" s="48" t="s">
        <v>293</v>
      </c>
    </row>
    <row r="399" spans="1:8" x14ac:dyDescent="0.2">
      <c r="A399" s="1"/>
    </row>
    <row r="400" spans="1:8" x14ac:dyDescent="0.2">
      <c r="A400" s="1" t="s">
        <v>294</v>
      </c>
      <c r="C400" s="21">
        <v>3.8</v>
      </c>
      <c r="D400" s="21" t="s">
        <v>295</v>
      </c>
    </row>
    <row r="401" spans="1:4" x14ac:dyDescent="0.2">
      <c r="A401" s="1" t="s">
        <v>294</v>
      </c>
      <c r="C401" s="21">
        <v>3.7</v>
      </c>
      <c r="D401" s="21" t="s">
        <v>296</v>
      </c>
    </row>
    <row r="402" spans="1:4" x14ac:dyDescent="0.2">
      <c r="A402" s="1" t="s">
        <v>297</v>
      </c>
      <c r="C402" s="21" t="s">
        <v>298</v>
      </c>
    </row>
    <row r="403" spans="1:4" x14ac:dyDescent="0.2">
      <c r="A403" s="1" t="s">
        <v>299</v>
      </c>
      <c r="C403" s="21" t="s">
        <v>303</v>
      </c>
    </row>
    <row r="404" spans="1:4" x14ac:dyDescent="0.2">
      <c r="A404" s="1" t="s">
        <v>300</v>
      </c>
      <c r="C404" s="21">
        <v>0.1</v>
      </c>
      <c r="D404" s="21" t="s">
        <v>304</v>
      </c>
    </row>
    <row r="405" spans="1:4" x14ac:dyDescent="0.2">
      <c r="A405" s="1" t="s">
        <v>301</v>
      </c>
      <c r="C405" s="49">
        <v>10000</v>
      </c>
    </row>
    <row r="406" spans="1:4" x14ac:dyDescent="0.2">
      <c r="A406" s="1" t="s">
        <v>306</v>
      </c>
      <c r="C406" s="49">
        <f>C405*C404</f>
        <v>1000</v>
      </c>
      <c r="D406" s="1" t="s">
        <v>305</v>
      </c>
    </row>
    <row r="407" spans="1:4" x14ac:dyDescent="0.2">
      <c r="A407" s="1" t="s">
        <v>302</v>
      </c>
      <c r="C407" s="49">
        <v>-500</v>
      </c>
      <c r="D407" s="1" t="s">
        <v>307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4" zoomScale="365" workbookViewId="0">
      <selection activeCell="B312" sqref="B31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2276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314" t="s">
        <v>2277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313" t="s">
        <v>2278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2279</v>
      </c>
    </row>
    <row r="7" spans="1:8" x14ac:dyDescent="0.2">
      <c r="A7" s="1" t="s">
        <v>2280</v>
      </c>
    </row>
    <row r="8" spans="1:8" ht="17" thickBot="1" x14ac:dyDescent="0.25"/>
    <row r="9" spans="1:8" ht="17" thickBot="1" x14ac:dyDescent="0.25">
      <c r="A9" s="313" t="s">
        <v>2281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2282</v>
      </c>
    </row>
    <row r="11" spans="1:8" x14ac:dyDescent="0.2">
      <c r="A11" s="1" t="s">
        <v>2283</v>
      </c>
    </row>
    <row r="12" spans="1:8" x14ac:dyDescent="0.2">
      <c r="A12" s="1" t="s">
        <v>2284</v>
      </c>
    </row>
    <row r="13" spans="1:8" x14ac:dyDescent="0.2">
      <c r="A13" s="1" t="s">
        <v>2285</v>
      </c>
    </row>
    <row r="14" spans="1:8" x14ac:dyDescent="0.2">
      <c r="A14" s="1" t="s">
        <v>2286</v>
      </c>
    </row>
    <row r="15" spans="1:8" x14ac:dyDescent="0.2">
      <c r="A15" s="1" t="s">
        <v>2287</v>
      </c>
    </row>
    <row r="16" spans="1:8" ht="17" thickBot="1" x14ac:dyDescent="0.25"/>
    <row r="17" spans="1:8" ht="17" thickBot="1" x14ac:dyDescent="0.25">
      <c r="A17" s="313" t="s">
        <v>2288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2289</v>
      </c>
    </row>
    <row r="19" spans="1:8" x14ac:dyDescent="0.2">
      <c r="A19" s="1" t="s">
        <v>2290</v>
      </c>
    </row>
    <row r="20" spans="1:8" x14ac:dyDescent="0.2">
      <c r="A20" s="1" t="s">
        <v>2291</v>
      </c>
    </row>
    <row r="21" spans="1:8" x14ac:dyDescent="0.2">
      <c r="A21" s="1" t="s">
        <v>2292</v>
      </c>
    </row>
    <row r="22" spans="1:8" x14ac:dyDescent="0.2">
      <c r="A22" s="1" t="s">
        <v>2293</v>
      </c>
    </row>
    <row r="24" spans="1:8" x14ac:dyDescent="0.2">
      <c r="A24" s="1" t="s">
        <v>2304</v>
      </c>
      <c r="E24" s="21" t="s">
        <v>2305</v>
      </c>
      <c r="F24" s="1" t="s">
        <v>2306</v>
      </c>
    </row>
    <row r="25" spans="1:8" x14ac:dyDescent="0.2">
      <c r="A25" s="1" t="s">
        <v>2307</v>
      </c>
    </row>
    <row r="33" spans="1:8" ht="17" thickBot="1" x14ac:dyDescent="0.25"/>
    <row r="34" spans="1:8" ht="17" thickBot="1" x14ac:dyDescent="0.25">
      <c r="A34" s="313" t="s">
        <v>2294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2295</v>
      </c>
    </row>
    <row r="36" spans="1:8" x14ac:dyDescent="0.2">
      <c r="A36" s="1" t="s">
        <v>2296</v>
      </c>
    </row>
    <row r="37" spans="1:8" x14ac:dyDescent="0.2">
      <c r="A37" s="1" t="s">
        <v>2297</v>
      </c>
    </row>
    <row r="38" spans="1:8" x14ac:dyDescent="0.2">
      <c r="A38" s="1" t="s">
        <v>2298</v>
      </c>
    </row>
    <row r="39" spans="1:8" x14ac:dyDescent="0.2">
      <c r="A39" s="1" t="s">
        <v>2299</v>
      </c>
    </row>
    <row r="41" spans="1:8" x14ac:dyDescent="0.2">
      <c r="A41" s="1" t="s">
        <v>2300</v>
      </c>
    </row>
    <row r="42" spans="1:8" x14ac:dyDescent="0.2">
      <c r="A42" s="1" t="s">
        <v>2301</v>
      </c>
    </row>
    <row r="44" spans="1:8" x14ac:dyDescent="0.2">
      <c r="A44" s="1" t="s">
        <v>2302</v>
      </c>
    </row>
    <row r="45" spans="1:8" x14ac:dyDescent="0.2">
      <c r="A45" s="1" t="s">
        <v>2303</v>
      </c>
    </row>
    <row r="47" spans="1:8" x14ac:dyDescent="0.2">
      <c r="A47" s="314" t="s">
        <v>2308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315" t="s">
        <v>2251</v>
      </c>
    </row>
    <row r="50" spans="1:1" x14ac:dyDescent="0.2">
      <c r="A50" s="1" t="s">
        <v>942</v>
      </c>
    </row>
    <row r="51" spans="1:1" x14ac:dyDescent="0.2">
      <c r="A51" s="1" t="s">
        <v>943</v>
      </c>
    </row>
    <row r="52" spans="1:1" x14ac:dyDescent="0.2">
      <c r="A52" s="1" t="s">
        <v>944</v>
      </c>
    </row>
    <row r="54" spans="1:1" x14ac:dyDescent="0.2">
      <c r="A54" s="1" t="s">
        <v>2309</v>
      </c>
    </row>
    <row r="55" spans="1:1" x14ac:dyDescent="0.2">
      <c r="A55" s="1" t="s">
        <v>946</v>
      </c>
    </row>
    <row r="57" spans="1:1" x14ac:dyDescent="0.2">
      <c r="A57" s="1" t="s">
        <v>947</v>
      </c>
    </row>
    <row r="59" spans="1:1" x14ac:dyDescent="0.2">
      <c r="A59" s="4" t="s">
        <v>2310</v>
      </c>
    </row>
    <row r="61" spans="1:1" x14ac:dyDescent="0.2">
      <c r="A61" s="1" t="s">
        <v>948</v>
      </c>
    </row>
    <row r="62" spans="1:1" x14ac:dyDescent="0.2">
      <c r="A62" s="1" t="s">
        <v>949</v>
      </c>
    </row>
    <row r="63" spans="1:1" x14ac:dyDescent="0.2">
      <c r="A63" s="1" t="s">
        <v>2311</v>
      </c>
    </row>
    <row r="65" spans="1:9" x14ac:dyDescent="0.2">
      <c r="A65" s="1" t="s">
        <v>2312</v>
      </c>
    </row>
    <row r="67" spans="1:9" x14ac:dyDescent="0.2">
      <c r="A67" s="1" t="s">
        <v>952</v>
      </c>
    </row>
    <row r="69" spans="1:9" x14ac:dyDescent="0.2">
      <c r="A69" s="141" t="s">
        <v>953</v>
      </c>
      <c r="B69" s="141"/>
      <c r="C69" s="141"/>
      <c r="D69" s="141"/>
      <c r="E69" s="141"/>
      <c r="F69" s="141"/>
      <c r="G69" s="141"/>
      <c r="H69" s="141"/>
      <c r="I69" s="141"/>
    </row>
    <row r="70" spans="1:9" x14ac:dyDescent="0.2">
      <c r="A70" s="1" t="s">
        <v>958</v>
      </c>
    </row>
    <row r="71" spans="1:9" x14ac:dyDescent="0.2">
      <c r="A71" s="1" t="s">
        <v>954</v>
      </c>
    </row>
    <row r="72" spans="1:9" x14ac:dyDescent="0.2">
      <c r="A72" s="1" t="s">
        <v>955</v>
      </c>
    </row>
    <row r="73" spans="1:9" x14ac:dyDescent="0.2">
      <c r="A73" s="1" t="s">
        <v>956</v>
      </c>
    </row>
    <row r="75" spans="1:9" x14ac:dyDescent="0.2">
      <c r="A75" s="4" t="s">
        <v>78</v>
      </c>
    </row>
    <row r="77" spans="1:9" x14ac:dyDescent="0.2">
      <c r="A77" s="1" t="s">
        <v>2313</v>
      </c>
    </row>
    <row r="78" spans="1:9" x14ac:dyDescent="0.2">
      <c r="A78" s="1" t="s">
        <v>2314</v>
      </c>
    </row>
    <row r="80" spans="1:9" x14ac:dyDescent="0.2">
      <c r="A80" s="1" t="s">
        <v>2317</v>
      </c>
      <c r="E80" s="21"/>
    </row>
    <row r="81" spans="1:9" x14ac:dyDescent="0.2">
      <c r="A81" s="1" t="s">
        <v>2318</v>
      </c>
      <c r="E81" s="21" t="s">
        <v>1017</v>
      </c>
    </row>
    <row r="82" spans="1:9" x14ac:dyDescent="0.2">
      <c r="A82" s="1" t="s">
        <v>2319</v>
      </c>
      <c r="C82" s="1" t="s">
        <v>2316</v>
      </c>
    </row>
    <row r="83" spans="1:9" x14ac:dyDescent="0.2">
      <c r="A83" s="1" t="s">
        <v>2320</v>
      </c>
    </row>
    <row r="84" spans="1:9" x14ac:dyDescent="0.2">
      <c r="A84" s="1" t="s">
        <v>2321</v>
      </c>
    </row>
    <row r="85" spans="1:9" x14ac:dyDescent="0.2">
      <c r="A85" s="1" t="s">
        <v>2322</v>
      </c>
      <c r="C85" s="1" t="s">
        <v>1017</v>
      </c>
    </row>
    <row r="86" spans="1:9" x14ac:dyDescent="0.2">
      <c r="A86" s="1" t="s">
        <v>2323</v>
      </c>
      <c r="D86" s="21" t="s">
        <v>741</v>
      </c>
      <c r="E86" s="1" t="s">
        <v>2315</v>
      </c>
    </row>
    <row r="87" spans="1:9" x14ac:dyDescent="0.2">
      <c r="A87" s="1" t="s">
        <v>2324</v>
      </c>
      <c r="D87" s="21" t="s">
        <v>246</v>
      </c>
    </row>
    <row r="90" spans="1:9" x14ac:dyDescent="0.2">
      <c r="A90" s="1" t="s">
        <v>2325</v>
      </c>
    </row>
    <row r="94" spans="1:9" x14ac:dyDescent="0.2">
      <c r="A94" s="141" t="s">
        <v>2326</v>
      </c>
      <c r="B94" s="141"/>
      <c r="C94" s="141"/>
      <c r="D94" s="141"/>
      <c r="E94" s="141"/>
      <c r="F94" s="141"/>
      <c r="G94" s="141"/>
      <c r="H94" s="141"/>
      <c r="I94" s="141"/>
    </row>
    <row r="95" spans="1:9" x14ac:dyDescent="0.2">
      <c r="A95" s="1" t="s">
        <v>2327</v>
      </c>
    </row>
    <row r="96" spans="1:9" x14ac:dyDescent="0.2">
      <c r="A96" s="1" t="s">
        <v>2328</v>
      </c>
    </row>
    <row r="100" spans="1:9" x14ac:dyDescent="0.2">
      <c r="A100" s="141" t="s">
        <v>2329</v>
      </c>
      <c r="B100" s="141"/>
      <c r="C100" s="141"/>
      <c r="D100" s="141"/>
      <c r="E100" s="141"/>
      <c r="F100" s="141"/>
      <c r="G100" s="141"/>
      <c r="H100" s="141"/>
      <c r="I100" s="141"/>
    </row>
    <row r="101" spans="1:9" x14ac:dyDescent="0.2">
      <c r="A101" s="1" t="s">
        <v>2330</v>
      </c>
    </row>
    <row r="102" spans="1:9" x14ac:dyDescent="0.2">
      <c r="A102" s="1" t="s">
        <v>2331</v>
      </c>
    </row>
    <row r="107" spans="1:9" x14ac:dyDescent="0.2">
      <c r="A107" s="141" t="s">
        <v>2332</v>
      </c>
      <c r="B107" s="141"/>
      <c r="C107" s="141"/>
      <c r="D107" s="141"/>
      <c r="E107" s="141"/>
      <c r="F107" s="141"/>
      <c r="G107" s="141"/>
      <c r="H107" s="141"/>
      <c r="I107" s="141"/>
    </row>
    <row r="108" spans="1:9" x14ac:dyDescent="0.2">
      <c r="A108" s="1" t="s">
        <v>2333</v>
      </c>
    </row>
    <row r="109" spans="1:9" x14ac:dyDescent="0.2">
      <c r="A109" s="1" t="s">
        <v>2334</v>
      </c>
    </row>
    <row r="110" spans="1:9" x14ac:dyDescent="0.2">
      <c r="A110" s="1" t="s">
        <v>2335</v>
      </c>
    </row>
    <row r="112" spans="1:9" x14ac:dyDescent="0.2">
      <c r="A112" s="1" t="s">
        <v>2336</v>
      </c>
      <c r="E112" s="1" t="s">
        <v>2340</v>
      </c>
    </row>
    <row r="113" spans="1:10" x14ac:dyDescent="0.2">
      <c r="A113" s="21" t="s">
        <v>250</v>
      </c>
      <c r="B113" s="1" t="s">
        <v>2337</v>
      </c>
    </row>
    <row r="114" spans="1:10" x14ac:dyDescent="0.2">
      <c r="A114" s="21" t="s">
        <v>71</v>
      </c>
      <c r="B114" s="1" t="s">
        <v>2338</v>
      </c>
    </row>
    <row r="115" spans="1:10" x14ac:dyDescent="0.2">
      <c r="A115" s="21" t="s">
        <v>246</v>
      </c>
      <c r="B115" s="1" t="s">
        <v>2339</v>
      </c>
    </row>
    <row r="118" spans="1:10" x14ac:dyDescent="0.2">
      <c r="A118" s="1" t="s">
        <v>2341</v>
      </c>
      <c r="J118" s="1">
        <v>3.3</v>
      </c>
    </row>
    <row r="119" spans="1:10" x14ac:dyDescent="0.2">
      <c r="A119" s="1" t="s">
        <v>2342</v>
      </c>
      <c r="J119" s="1">
        <v>3.9</v>
      </c>
    </row>
    <row r="121" spans="1:10" x14ac:dyDescent="0.2">
      <c r="A121" s="1" t="s">
        <v>2344</v>
      </c>
    </row>
    <row r="122" spans="1:10" x14ac:dyDescent="0.2">
      <c r="A122" s="1" t="s">
        <v>2345</v>
      </c>
    </row>
    <row r="123" spans="1:10" x14ac:dyDescent="0.2">
      <c r="A123" s="1" t="s">
        <v>2346</v>
      </c>
    </row>
    <row r="124" spans="1:10" x14ac:dyDescent="0.2">
      <c r="A124" s="1" t="s">
        <v>2343</v>
      </c>
    </row>
    <row r="131" spans="1:10" x14ac:dyDescent="0.2">
      <c r="A131" s="1" t="s">
        <v>2347</v>
      </c>
    </row>
    <row r="132" spans="1:10" x14ac:dyDescent="0.2">
      <c r="A132" s="1" t="s">
        <v>2348</v>
      </c>
    </row>
    <row r="135" spans="1:10" x14ac:dyDescent="0.2">
      <c r="A135" s="1" t="s">
        <v>957</v>
      </c>
    </row>
    <row r="136" spans="1:10" x14ac:dyDescent="0.2">
      <c r="A136" s="1" t="s">
        <v>959</v>
      </c>
      <c r="H136" s="1" t="s">
        <v>960</v>
      </c>
    </row>
    <row r="137" spans="1:10" x14ac:dyDescent="0.2">
      <c r="A137" s="1" t="s">
        <v>961</v>
      </c>
    </row>
    <row r="138" spans="1:10" x14ac:dyDescent="0.2">
      <c r="G138" s="21">
        <f>4.5-4.37</f>
        <v>0.12999999999999989</v>
      </c>
      <c r="H138" s="1" t="s">
        <v>962</v>
      </c>
      <c r="J138" s="1" t="s">
        <v>970</v>
      </c>
    </row>
    <row r="139" spans="1:10" x14ac:dyDescent="0.2">
      <c r="A139" s="1" t="s">
        <v>964</v>
      </c>
    </row>
    <row r="140" spans="1:10" x14ac:dyDescent="0.2">
      <c r="F140" s="21">
        <f>0.13*10000</f>
        <v>1300</v>
      </c>
      <c r="H140" s="1" t="s">
        <v>963</v>
      </c>
      <c r="J140" s="1" t="s">
        <v>971</v>
      </c>
    </row>
    <row r="141" spans="1:10" x14ac:dyDescent="0.2">
      <c r="A141" s="1" t="s">
        <v>965</v>
      </c>
    </row>
    <row r="142" spans="1:10" x14ac:dyDescent="0.2">
      <c r="H142" s="1" t="s">
        <v>966</v>
      </c>
      <c r="J142" s="1" t="s">
        <v>973</v>
      </c>
    </row>
    <row r="143" spans="1:10" x14ac:dyDescent="0.2">
      <c r="A143" s="1" t="s">
        <v>967</v>
      </c>
    </row>
    <row r="144" spans="1:10" x14ac:dyDescent="0.2">
      <c r="H144" s="1" t="s">
        <v>968</v>
      </c>
    </row>
    <row r="145" spans="1:8" x14ac:dyDescent="0.2">
      <c r="A145" s="1" t="s">
        <v>972</v>
      </c>
    </row>
    <row r="147" spans="1:8" x14ac:dyDescent="0.2">
      <c r="H147" s="1" t="s">
        <v>969</v>
      </c>
    </row>
    <row r="151" spans="1:8" x14ac:dyDescent="0.2">
      <c r="A151" s="1" t="s">
        <v>974</v>
      </c>
    </row>
    <row r="152" spans="1:8" x14ac:dyDescent="0.2">
      <c r="A152" s="1" t="s">
        <v>975</v>
      </c>
    </row>
    <row r="154" spans="1:8" x14ac:dyDescent="0.2">
      <c r="A154" s="4"/>
    </row>
    <row r="168" spans="1:8" x14ac:dyDescent="0.2">
      <c r="A168" s="1" t="s">
        <v>2349</v>
      </c>
    </row>
    <row r="173" spans="1:8" ht="17" thickBot="1" x14ac:dyDescent="0.25"/>
    <row r="174" spans="1:8" ht="17" thickBot="1" x14ac:dyDescent="0.25">
      <c r="A174" s="142" t="s">
        <v>2350</v>
      </c>
      <c r="B174" s="143"/>
      <c r="C174" s="143"/>
      <c r="D174" s="143"/>
      <c r="E174" s="143"/>
      <c r="F174" s="143"/>
      <c r="G174" s="143"/>
      <c r="H174" s="144"/>
    </row>
    <row r="175" spans="1:8" x14ac:dyDescent="0.2">
      <c r="A175" s="1" t="s">
        <v>1030</v>
      </c>
    </row>
    <row r="176" spans="1:8" x14ac:dyDescent="0.2">
      <c r="A176" s="1" t="s">
        <v>1031</v>
      </c>
    </row>
    <row r="178" spans="1:1" x14ac:dyDescent="0.2">
      <c r="A178" s="1" t="s">
        <v>1032</v>
      </c>
    </row>
    <row r="179" spans="1:1" x14ac:dyDescent="0.2">
      <c r="A179" s="1" t="s">
        <v>1034</v>
      </c>
    </row>
    <row r="180" spans="1:1" x14ac:dyDescent="0.2">
      <c r="A180" s="1" t="s">
        <v>1033</v>
      </c>
    </row>
    <row r="181" spans="1:1" x14ac:dyDescent="0.2">
      <c r="A181" s="1" t="s">
        <v>1035</v>
      </c>
    </row>
    <row r="182" spans="1:1" x14ac:dyDescent="0.2">
      <c r="A182" s="1" t="s">
        <v>1036</v>
      </c>
    </row>
    <row r="184" spans="1:1" x14ac:dyDescent="0.2">
      <c r="A184" s="4" t="s">
        <v>1037</v>
      </c>
    </row>
    <row r="185" spans="1:1" x14ac:dyDescent="0.2">
      <c r="A185" s="1" t="s">
        <v>1047</v>
      </c>
    </row>
    <row r="186" spans="1:1" x14ac:dyDescent="0.2">
      <c r="A186" s="1" t="s">
        <v>1049</v>
      </c>
    </row>
    <row r="187" spans="1:1" x14ac:dyDescent="0.2">
      <c r="A187" s="1" t="s">
        <v>1038</v>
      </c>
    </row>
    <row r="188" spans="1:1" x14ac:dyDescent="0.2">
      <c r="A188" s="1" t="s">
        <v>1039</v>
      </c>
    </row>
    <row r="189" spans="1:1" x14ac:dyDescent="0.2">
      <c r="A189" s="1" t="s">
        <v>1040</v>
      </c>
    </row>
    <row r="190" spans="1:1" x14ac:dyDescent="0.2">
      <c r="A190" s="1" t="s">
        <v>1041</v>
      </c>
    </row>
    <row r="191" spans="1:1" x14ac:dyDescent="0.2">
      <c r="A191" s="1" t="s">
        <v>1045</v>
      </c>
    </row>
    <row r="193" spans="1:9" x14ac:dyDescent="0.2">
      <c r="A193" s="1" t="s">
        <v>1042</v>
      </c>
      <c r="G193" s="1" t="s">
        <v>1043</v>
      </c>
      <c r="H193" s="21" t="s">
        <v>92</v>
      </c>
      <c r="I193" s="21" t="s">
        <v>1048</v>
      </c>
    </row>
    <row r="194" spans="1:9" x14ac:dyDescent="0.2">
      <c r="A194" s="1" t="s">
        <v>1044</v>
      </c>
      <c r="G194" s="1" t="s">
        <v>1046</v>
      </c>
      <c r="H194" s="1" t="s">
        <v>1050</v>
      </c>
    </row>
    <row r="196" spans="1:9" x14ac:dyDescent="0.2">
      <c r="A196" s="4" t="s">
        <v>1051</v>
      </c>
    </row>
    <row r="197" spans="1:9" x14ac:dyDescent="0.2">
      <c r="A197" s="1" t="s">
        <v>1052</v>
      </c>
    </row>
    <row r="198" spans="1:9" x14ac:dyDescent="0.2">
      <c r="A198" s="1" t="s">
        <v>1053</v>
      </c>
    </row>
    <row r="199" spans="1:9" x14ac:dyDescent="0.2">
      <c r="G199" s="1" t="s">
        <v>1043</v>
      </c>
    </row>
    <row r="200" spans="1:9" x14ac:dyDescent="0.2">
      <c r="G200" s="1" t="s">
        <v>1055</v>
      </c>
    </row>
    <row r="202" spans="1:9" x14ac:dyDescent="0.2">
      <c r="A202" s="1" t="s">
        <v>1054</v>
      </c>
      <c r="E202" s="1" t="s">
        <v>1056</v>
      </c>
    </row>
    <row r="203" spans="1:9" x14ac:dyDescent="0.2">
      <c r="A203" s="1" t="s">
        <v>1057</v>
      </c>
      <c r="E203" s="1" t="s">
        <v>1058</v>
      </c>
    </row>
    <row r="205" spans="1:9" x14ac:dyDescent="0.2">
      <c r="A205" s="1" t="s">
        <v>1059</v>
      </c>
    </row>
    <row r="206" spans="1:9" x14ac:dyDescent="0.2">
      <c r="A206" s="128" t="s">
        <v>1061</v>
      </c>
      <c r="E206" s="1" t="s">
        <v>1060</v>
      </c>
    </row>
    <row r="207" spans="1:9" x14ac:dyDescent="0.2">
      <c r="A207" s="128" t="s">
        <v>1062</v>
      </c>
    </row>
    <row r="215" spans="1:8" ht="17" thickBot="1" x14ac:dyDescent="0.25"/>
    <row r="216" spans="1:8" ht="17" thickBot="1" x14ac:dyDescent="0.25">
      <c r="A216" s="15" t="s">
        <v>2351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330</v>
      </c>
    </row>
    <row r="218" spans="1:8" x14ac:dyDescent="0.2">
      <c r="A218" s="48" t="s">
        <v>331</v>
      </c>
    </row>
    <row r="220" spans="1:8" x14ac:dyDescent="0.2">
      <c r="A220" s="4" t="s">
        <v>78</v>
      </c>
    </row>
    <row r="222" spans="1:8" x14ac:dyDescent="0.2">
      <c r="A222" s="1" t="s">
        <v>332</v>
      </c>
      <c r="C222" s="1" t="s">
        <v>333</v>
      </c>
    </row>
    <row r="223" spans="1:8" x14ac:dyDescent="0.2">
      <c r="A223" s="1" t="s">
        <v>334</v>
      </c>
      <c r="C223" s="1">
        <f>3.8-3.2</f>
        <v>0.59999999999999964</v>
      </c>
    </row>
    <row r="224" spans="1:8" x14ac:dyDescent="0.2">
      <c r="A224" s="1" t="s">
        <v>335</v>
      </c>
      <c r="C224" s="55">
        <v>10000</v>
      </c>
    </row>
    <row r="225" spans="1:8" x14ac:dyDescent="0.2">
      <c r="A225" s="1" t="s">
        <v>336</v>
      </c>
      <c r="C225" s="1">
        <f>C223*C224</f>
        <v>5999.9999999999964</v>
      </c>
    </row>
    <row r="226" spans="1:8" x14ac:dyDescent="0.2">
      <c r="A226" s="1" t="s">
        <v>337</v>
      </c>
      <c r="C226" s="1">
        <v>-2200</v>
      </c>
    </row>
    <row r="227" spans="1:8" x14ac:dyDescent="0.2">
      <c r="A227" s="1" t="s">
        <v>338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2352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323</v>
      </c>
    </row>
    <row r="231" spans="1:8" x14ac:dyDescent="0.2">
      <c r="A231" s="1" t="s">
        <v>324</v>
      </c>
    </row>
    <row r="232" spans="1:8" x14ac:dyDescent="0.2">
      <c r="A232" s="1" t="s">
        <v>326</v>
      </c>
    </row>
    <row r="234" spans="1:8" x14ac:dyDescent="0.2">
      <c r="B234" s="345" t="s">
        <v>328</v>
      </c>
      <c r="C234" s="345"/>
      <c r="D234" s="352" t="s">
        <v>329</v>
      </c>
      <c r="E234" s="352"/>
    </row>
    <row r="235" spans="1:8" ht="49" x14ac:dyDescent="0.2">
      <c r="A235" s="21" t="s">
        <v>71</v>
      </c>
      <c r="B235" s="56" t="s">
        <v>325</v>
      </c>
      <c r="C235" s="56" t="s">
        <v>327</v>
      </c>
      <c r="D235" s="56" t="s">
        <v>325</v>
      </c>
      <c r="E235" s="56" t="s">
        <v>327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51" t="s">
        <v>1124</v>
      </c>
      <c r="B250" s="51"/>
      <c r="C250" s="51"/>
      <c r="D250" s="51"/>
      <c r="E250" s="51"/>
      <c r="F250" s="51"/>
      <c r="G250" s="150"/>
      <c r="H250" s="152"/>
      <c r="I250" s="53"/>
    </row>
    <row r="252" spans="1:9" x14ac:dyDescent="0.2">
      <c r="A252" s="1" t="s">
        <v>1119</v>
      </c>
    </row>
    <row r="253" spans="1:9" x14ac:dyDescent="0.2">
      <c r="A253" s="1" t="s">
        <v>1120</v>
      </c>
    </row>
    <row r="254" spans="1:9" x14ac:dyDescent="0.2">
      <c r="A254" s="1" t="s">
        <v>1121</v>
      </c>
    </row>
    <row r="255" spans="1:9" x14ac:dyDescent="0.2">
      <c r="A255" s="1" t="s">
        <v>1122</v>
      </c>
    </row>
    <row r="257" spans="1:9" x14ac:dyDescent="0.2">
      <c r="A257" s="4" t="s">
        <v>1123</v>
      </c>
    </row>
    <row r="259" spans="1:9" x14ac:dyDescent="0.2">
      <c r="A259" s="21" t="s">
        <v>71</v>
      </c>
      <c r="B259" s="21" t="s">
        <v>280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51" t="s">
        <v>2353</v>
      </c>
      <c r="B272" s="51"/>
      <c r="C272" s="51"/>
      <c r="D272" s="51"/>
      <c r="E272" s="51"/>
      <c r="F272" s="51"/>
      <c r="G272" s="150"/>
      <c r="H272" s="152"/>
      <c r="I272" s="53"/>
    </row>
    <row r="274" spans="1:8" x14ac:dyDescent="0.2">
      <c r="A274" s="1" t="s">
        <v>1126</v>
      </c>
    </row>
    <row r="275" spans="1:8" x14ac:dyDescent="0.2">
      <c r="A275" s="1" t="s">
        <v>1125</v>
      </c>
    </row>
    <row r="276" spans="1:8" x14ac:dyDescent="0.2">
      <c r="A276" s="1" t="s">
        <v>1127</v>
      </c>
    </row>
    <row r="277" spans="1:8" x14ac:dyDescent="0.2">
      <c r="A277" s="1" t="s">
        <v>1128</v>
      </c>
    </row>
    <row r="278" spans="1:8" x14ac:dyDescent="0.2">
      <c r="A278" s="1" t="s">
        <v>1129</v>
      </c>
    </row>
    <row r="279" spans="1:8" x14ac:dyDescent="0.2">
      <c r="A279" s="1" t="s">
        <v>1130</v>
      </c>
    </row>
    <row r="281" spans="1:8" x14ac:dyDescent="0.2">
      <c r="A281" s="1" t="s">
        <v>78</v>
      </c>
      <c r="B281" s="1" t="s">
        <v>1254</v>
      </c>
      <c r="C281" s="1" t="s">
        <v>1255</v>
      </c>
    </row>
    <row r="282" spans="1:8" x14ac:dyDescent="0.2">
      <c r="A282" s="1" t="s">
        <v>1131</v>
      </c>
      <c r="B282" s="1">
        <v>-500</v>
      </c>
      <c r="C282" s="1">
        <f>B282*3</f>
        <v>-1500</v>
      </c>
    </row>
    <row r="283" spans="1:8" x14ac:dyDescent="0.2">
      <c r="A283" s="1" t="s">
        <v>809</v>
      </c>
      <c r="B283" s="1">
        <v>-500</v>
      </c>
      <c r="C283" s="1">
        <f>B283*3</f>
        <v>-1500</v>
      </c>
    </row>
    <row r="284" spans="1:8" x14ac:dyDescent="0.2">
      <c r="A284" s="1" t="s">
        <v>1132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2354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270</v>
      </c>
    </row>
    <row r="289" spans="1:6" x14ac:dyDescent="0.2">
      <c r="A289" s="1" t="s">
        <v>271</v>
      </c>
    </row>
    <row r="290" spans="1:6" x14ac:dyDescent="0.2">
      <c r="A290" s="1" t="s">
        <v>272</v>
      </c>
    </row>
    <row r="291" spans="1:6" x14ac:dyDescent="0.2">
      <c r="A291" s="1" t="s">
        <v>273</v>
      </c>
      <c r="F291" s="1" t="s">
        <v>292</v>
      </c>
    </row>
    <row r="292" spans="1:6" x14ac:dyDescent="0.2">
      <c r="A292" s="1" t="s">
        <v>274</v>
      </c>
    </row>
    <row r="293" spans="1:6" x14ac:dyDescent="0.2">
      <c r="A293" s="1" t="s">
        <v>275</v>
      </c>
    </row>
    <row r="294" spans="1:6" x14ac:dyDescent="0.2">
      <c r="A294" s="1" t="s">
        <v>276</v>
      </c>
    </row>
    <row r="296" spans="1:6" x14ac:dyDescent="0.2">
      <c r="A296" s="1" t="s">
        <v>285</v>
      </c>
    </row>
    <row r="297" spans="1:6" x14ac:dyDescent="0.2">
      <c r="A297" s="1" t="s">
        <v>286</v>
      </c>
    </row>
    <row r="299" spans="1:6" x14ac:dyDescent="0.2">
      <c r="A299" s="1" t="s">
        <v>287</v>
      </c>
    </row>
    <row r="300" spans="1:6" x14ac:dyDescent="0.2">
      <c r="A300" s="1" t="s">
        <v>289</v>
      </c>
    </row>
    <row r="301" spans="1:6" x14ac:dyDescent="0.2">
      <c r="A301" s="1" t="s">
        <v>288</v>
      </c>
    </row>
    <row r="302" spans="1:6" x14ac:dyDescent="0.2">
      <c r="A302" s="1" t="s">
        <v>290</v>
      </c>
    </row>
    <row r="303" spans="1:6" x14ac:dyDescent="0.2">
      <c r="A303" s="1" t="s">
        <v>291</v>
      </c>
    </row>
    <row r="304" spans="1:6" ht="17" thickBot="1" x14ac:dyDescent="0.25"/>
    <row r="305" spans="1:8" ht="17" thickBot="1" x14ac:dyDescent="0.25">
      <c r="A305" s="15" t="s">
        <v>2355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270</v>
      </c>
    </row>
    <row r="307" spans="1:8" x14ac:dyDescent="0.2">
      <c r="A307" s="48" t="s">
        <v>293</v>
      </c>
    </row>
    <row r="309" spans="1:8" x14ac:dyDescent="0.2">
      <c r="A309" s="1" t="s">
        <v>294</v>
      </c>
      <c r="C309" s="21">
        <v>3.8</v>
      </c>
      <c r="D309" s="21" t="s">
        <v>295</v>
      </c>
    </row>
    <row r="310" spans="1:8" x14ac:dyDescent="0.2">
      <c r="A310" s="1" t="s">
        <v>294</v>
      </c>
      <c r="C310" s="21">
        <v>3.7</v>
      </c>
      <c r="D310" s="21" t="s">
        <v>296</v>
      </c>
    </row>
    <row r="311" spans="1:8" x14ac:dyDescent="0.2">
      <c r="A311" s="1" t="s">
        <v>297</v>
      </c>
      <c r="C311" s="21" t="s">
        <v>298</v>
      </c>
    </row>
    <row r="312" spans="1:8" x14ac:dyDescent="0.2">
      <c r="A312" s="1" t="s">
        <v>299</v>
      </c>
      <c r="C312" s="21" t="s">
        <v>303</v>
      </c>
    </row>
    <row r="313" spans="1:8" x14ac:dyDescent="0.2">
      <c r="A313" s="1" t="s">
        <v>300</v>
      </c>
      <c r="C313" s="21">
        <v>0.1</v>
      </c>
      <c r="D313" s="21" t="s">
        <v>304</v>
      </c>
    </row>
    <row r="314" spans="1:8" x14ac:dyDescent="0.2">
      <c r="A314" s="1" t="s">
        <v>301</v>
      </c>
      <c r="C314" s="49">
        <v>10000</v>
      </c>
    </row>
    <row r="315" spans="1:8" x14ac:dyDescent="0.2">
      <c r="A315" s="1" t="s">
        <v>306</v>
      </c>
      <c r="C315" s="49">
        <f>C314*C313</f>
        <v>1000</v>
      </c>
      <c r="D315" s="1" t="s">
        <v>305</v>
      </c>
    </row>
    <row r="316" spans="1:8" x14ac:dyDescent="0.2">
      <c r="A316" s="1" t="s">
        <v>302</v>
      </c>
      <c r="C316" s="49">
        <v>-500</v>
      </c>
      <c r="D316" s="1" t="s">
        <v>307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J147"/>
  <sheetViews>
    <sheetView rightToLeft="1" topLeftCell="A132" zoomScale="299" workbookViewId="0">
      <selection activeCell="C139" sqref="C139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2" t="s">
        <v>2359</v>
      </c>
      <c r="B1" s="2"/>
      <c r="C1" s="2"/>
      <c r="D1" s="2"/>
      <c r="E1" s="2"/>
      <c r="F1" s="2"/>
      <c r="G1" s="2"/>
      <c r="H1" s="3">
        <v>45637</v>
      </c>
    </row>
    <row r="2" spans="1:10" ht="17" thickBot="1" x14ac:dyDescent="0.25"/>
    <row r="3" spans="1:10" ht="17" thickBot="1" x14ac:dyDescent="0.25">
      <c r="A3" s="5" t="s">
        <v>2360</v>
      </c>
      <c r="B3" s="8"/>
      <c r="C3" s="8"/>
      <c r="D3" s="8"/>
      <c r="E3" s="8"/>
      <c r="F3" s="8"/>
      <c r="G3" s="8"/>
      <c r="H3" s="9"/>
    </row>
    <row r="5" spans="1:10" x14ac:dyDescent="0.2">
      <c r="A5" s="1" t="s">
        <v>2362</v>
      </c>
      <c r="B5" s="1" t="s">
        <v>2363</v>
      </c>
    </row>
    <row r="6" spans="1:10" x14ac:dyDescent="0.2">
      <c r="B6" s="1" t="s">
        <v>2364</v>
      </c>
    </row>
    <row r="7" spans="1:10" x14ac:dyDescent="0.2">
      <c r="B7" s="1" t="s">
        <v>2365</v>
      </c>
    </row>
    <row r="8" spans="1:10" x14ac:dyDescent="0.2">
      <c r="B8" s="1" t="s">
        <v>2366</v>
      </c>
    </row>
    <row r="9" spans="1:10" ht="17" thickBot="1" x14ac:dyDescent="0.25"/>
    <row r="10" spans="1:10" ht="17" thickBot="1" x14ac:dyDescent="0.25">
      <c r="A10" s="5" t="s">
        <v>2367</v>
      </c>
      <c r="B10" s="8"/>
      <c r="C10" s="8"/>
      <c r="D10" s="8"/>
      <c r="E10" s="8"/>
      <c r="F10" s="8"/>
      <c r="G10" s="8"/>
      <c r="H10" s="9"/>
    </row>
    <row r="12" spans="1:10" x14ac:dyDescent="0.2">
      <c r="A12" s="1" t="s">
        <v>665</v>
      </c>
      <c r="B12" s="1" t="s">
        <v>2368</v>
      </c>
      <c r="I12" s="348" t="s">
        <v>2370</v>
      </c>
    </row>
    <row r="13" spans="1:10" x14ac:dyDescent="0.2">
      <c r="A13" s="1" t="s">
        <v>667</v>
      </c>
      <c r="B13" s="1" t="s">
        <v>2369</v>
      </c>
      <c r="I13" s="348"/>
    </row>
    <row r="14" spans="1:10" x14ac:dyDescent="0.2">
      <c r="A14" s="1" t="s">
        <v>669</v>
      </c>
      <c r="B14" s="1" t="s">
        <v>2372</v>
      </c>
    </row>
    <row r="15" spans="1:10" x14ac:dyDescent="0.2">
      <c r="A15" s="1" t="s">
        <v>671</v>
      </c>
      <c r="B15" s="1" t="s">
        <v>2371</v>
      </c>
      <c r="J15" s="1" t="s">
        <v>2373</v>
      </c>
    </row>
    <row r="16" spans="1:10" x14ac:dyDescent="0.2">
      <c r="A16" s="1" t="s">
        <v>672</v>
      </c>
      <c r="B16" s="1" t="s">
        <v>2361</v>
      </c>
    </row>
    <row r="17" spans="1:8" ht="17" thickBot="1" x14ac:dyDescent="0.25"/>
    <row r="18" spans="1:8" ht="17" thickBot="1" x14ac:dyDescent="0.25">
      <c r="A18" s="5" t="s">
        <v>2374</v>
      </c>
      <c r="B18" s="8"/>
      <c r="C18" s="8"/>
      <c r="D18" s="8"/>
      <c r="E18" s="8"/>
      <c r="F18" s="8"/>
      <c r="G18" s="8"/>
      <c r="H18" s="9"/>
    </row>
    <row r="20" spans="1:8" x14ac:dyDescent="0.2">
      <c r="A20" s="141" t="s">
        <v>2383</v>
      </c>
      <c r="B20" s="141"/>
      <c r="C20" s="141"/>
      <c r="D20" s="141"/>
      <c r="E20" s="141"/>
      <c r="F20" s="141"/>
      <c r="G20" s="141"/>
      <c r="H20" s="141"/>
    </row>
    <row r="21" spans="1:8" x14ac:dyDescent="0.2">
      <c r="A21" s="1" t="s">
        <v>2375</v>
      </c>
    </row>
    <row r="22" spans="1:8" x14ac:dyDescent="0.2">
      <c r="A22" s="1" t="s">
        <v>2376</v>
      </c>
    </row>
    <row r="23" spans="1:8" x14ac:dyDescent="0.2">
      <c r="A23" s="1" t="s">
        <v>2377</v>
      </c>
    </row>
    <row r="24" spans="1:8" x14ac:dyDescent="0.2">
      <c r="A24" s="1" t="s">
        <v>2378</v>
      </c>
    </row>
    <row r="26" spans="1:8" x14ac:dyDescent="0.2">
      <c r="A26" s="1" t="s">
        <v>78</v>
      </c>
    </row>
    <row r="28" spans="1:8" x14ac:dyDescent="0.2">
      <c r="A28" s="1" t="s">
        <v>2379</v>
      </c>
    </row>
    <row r="36" spans="1:8" x14ac:dyDescent="0.2">
      <c r="A36" s="1" t="s">
        <v>2380</v>
      </c>
    </row>
    <row r="37" spans="1:8" x14ac:dyDescent="0.2">
      <c r="A37" s="1" t="s">
        <v>2382</v>
      </c>
      <c r="F37" s="1" t="s">
        <v>2381</v>
      </c>
    </row>
    <row r="39" spans="1:8" x14ac:dyDescent="0.2">
      <c r="A39" s="141" t="s">
        <v>2384</v>
      </c>
      <c r="B39" s="141"/>
      <c r="C39" s="141"/>
      <c r="D39" s="141"/>
      <c r="E39" s="141"/>
      <c r="F39" s="141"/>
      <c r="G39" s="141"/>
      <c r="H39" s="141"/>
    </row>
    <row r="40" spans="1:8" x14ac:dyDescent="0.2">
      <c r="A40" s="1" t="s">
        <v>2385</v>
      </c>
    </row>
    <row r="41" spans="1:8" x14ac:dyDescent="0.2">
      <c r="A41" s="1" t="s">
        <v>2386</v>
      </c>
    </row>
    <row r="42" spans="1:8" x14ac:dyDescent="0.2">
      <c r="A42" s="1" t="s">
        <v>2387</v>
      </c>
    </row>
    <row r="44" spans="1:8" x14ac:dyDescent="0.2">
      <c r="A44" s="1" t="s">
        <v>78</v>
      </c>
    </row>
    <row r="48" spans="1:8" x14ac:dyDescent="0.2">
      <c r="A48" s="1" t="s">
        <v>2388</v>
      </c>
    </row>
    <row r="49" spans="1:8" x14ac:dyDescent="0.2">
      <c r="A49" s="1" t="s">
        <v>2389</v>
      </c>
    </row>
    <row r="50" spans="1:8" x14ac:dyDescent="0.2">
      <c r="A50" s="1" t="s">
        <v>2390</v>
      </c>
    </row>
    <row r="51" spans="1:8" x14ac:dyDescent="0.2">
      <c r="A51" s="1" t="s">
        <v>2391</v>
      </c>
    </row>
    <row r="53" spans="1:8" x14ac:dyDescent="0.2">
      <c r="A53" s="1" t="s">
        <v>2395</v>
      </c>
      <c r="F53" s="1" t="s">
        <v>2392</v>
      </c>
    </row>
    <row r="54" spans="1:8" x14ac:dyDescent="0.2">
      <c r="A54" s="1" t="s">
        <v>2397</v>
      </c>
      <c r="F54" s="1" t="s">
        <v>2393</v>
      </c>
    </row>
    <row r="55" spans="1:8" x14ac:dyDescent="0.2">
      <c r="A55" s="1" t="s">
        <v>2396</v>
      </c>
      <c r="F55" s="4" t="s">
        <v>2394</v>
      </c>
    </row>
    <row r="57" spans="1:8" x14ac:dyDescent="0.2">
      <c r="A57" s="141" t="s">
        <v>2398</v>
      </c>
      <c r="B57" s="141"/>
      <c r="C57" s="141"/>
      <c r="D57" s="141"/>
      <c r="E57" s="141"/>
      <c r="F57" s="141"/>
      <c r="G57" s="141"/>
      <c r="H57" s="141"/>
    </row>
    <row r="58" spans="1:8" x14ac:dyDescent="0.2">
      <c r="A58" s="1" t="s">
        <v>2399</v>
      </c>
    </row>
    <row r="59" spans="1:8" x14ac:dyDescent="0.2">
      <c r="A59" s="1" t="s">
        <v>2400</v>
      </c>
    </row>
    <row r="60" spans="1:8" x14ac:dyDescent="0.2">
      <c r="A60" s="1" t="s">
        <v>2401</v>
      </c>
    </row>
    <row r="61" spans="1:8" x14ac:dyDescent="0.2">
      <c r="A61" s="1" t="s">
        <v>2402</v>
      </c>
    </row>
    <row r="63" spans="1:8" x14ac:dyDescent="0.2">
      <c r="A63" s="1" t="s">
        <v>2412</v>
      </c>
    </row>
    <row r="66" spans="1:9" x14ac:dyDescent="0.2">
      <c r="A66" s="1" t="s">
        <v>2413</v>
      </c>
    </row>
    <row r="67" spans="1:9" ht="17" thickBot="1" x14ac:dyDescent="0.25"/>
    <row r="68" spans="1:9" x14ac:dyDescent="0.2">
      <c r="A68" s="97" t="s">
        <v>2411</v>
      </c>
      <c r="B68" s="39"/>
      <c r="C68" s="39"/>
      <c r="D68" s="40"/>
      <c r="F68" s="97" t="s">
        <v>2403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2404</v>
      </c>
      <c r="G69" s="44"/>
      <c r="H69" s="44"/>
      <c r="I69" s="45"/>
    </row>
    <row r="73" spans="1:9" x14ac:dyDescent="0.2">
      <c r="A73" s="1" t="s">
        <v>2405</v>
      </c>
    </row>
    <row r="74" spans="1:9" x14ac:dyDescent="0.2">
      <c r="A74" s="1" t="s">
        <v>2406</v>
      </c>
    </row>
    <row r="75" spans="1:9" x14ac:dyDescent="0.2">
      <c r="A75" s="1" t="s">
        <v>2407</v>
      </c>
    </row>
    <row r="76" spans="1:9" x14ac:dyDescent="0.2">
      <c r="A76" s="1" t="s">
        <v>2408</v>
      </c>
    </row>
    <row r="77" spans="1:9" x14ac:dyDescent="0.2">
      <c r="A77" s="1" t="s">
        <v>2409</v>
      </c>
    </row>
    <row r="78" spans="1:9" x14ac:dyDescent="0.2">
      <c r="A78" s="1" t="s">
        <v>2410</v>
      </c>
    </row>
    <row r="82" spans="3:10" x14ac:dyDescent="0.2">
      <c r="F82" s="1" t="s">
        <v>2417</v>
      </c>
      <c r="J82" s="1" t="s">
        <v>2414</v>
      </c>
    </row>
    <row r="83" spans="3:10" x14ac:dyDescent="0.2">
      <c r="F83" s="1" t="s">
        <v>2418</v>
      </c>
      <c r="J83" s="1" t="s">
        <v>2415</v>
      </c>
    </row>
    <row r="84" spans="3:10" x14ac:dyDescent="0.2">
      <c r="F84" s="1" t="s">
        <v>2419</v>
      </c>
      <c r="J84" s="1" t="s">
        <v>2416</v>
      </c>
    </row>
    <row r="86" spans="3:10" x14ac:dyDescent="0.2">
      <c r="C86" s="1" t="s">
        <v>2420</v>
      </c>
    </row>
    <row r="89" spans="3:10" x14ac:dyDescent="0.2">
      <c r="C89" s="1" t="s">
        <v>2421</v>
      </c>
    </row>
    <row r="92" spans="3:10" x14ac:dyDescent="0.2">
      <c r="C92" s="1" t="s">
        <v>2422</v>
      </c>
    </row>
    <row r="101" spans="1:6" x14ac:dyDescent="0.2">
      <c r="A101" s="1" t="s">
        <v>2423</v>
      </c>
    </row>
    <row r="103" spans="1:6" x14ac:dyDescent="0.2">
      <c r="F103" s="1" t="s">
        <v>2424</v>
      </c>
    </row>
    <row r="104" spans="1:6" x14ac:dyDescent="0.2">
      <c r="F104" s="1" t="s">
        <v>2425</v>
      </c>
    </row>
    <row r="105" spans="1:6" x14ac:dyDescent="0.2">
      <c r="F105" s="1" t="s">
        <v>2426</v>
      </c>
    </row>
    <row r="106" spans="1:6" x14ac:dyDescent="0.2">
      <c r="F106" s="1" t="s">
        <v>2427</v>
      </c>
    </row>
    <row r="114" spans="1:8" x14ac:dyDescent="0.2">
      <c r="A114" s="2" t="s">
        <v>2428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2429</v>
      </c>
    </row>
    <row r="116" spans="1:8" x14ac:dyDescent="0.2">
      <c r="A116" s="1" t="s">
        <v>2430</v>
      </c>
    </row>
    <row r="119" spans="1:8" x14ac:dyDescent="0.2">
      <c r="A119" s="1" t="s">
        <v>2431</v>
      </c>
    </row>
    <row r="121" spans="1:8" x14ac:dyDescent="0.2">
      <c r="A121" s="1" t="s">
        <v>2432</v>
      </c>
    </row>
    <row r="123" spans="1:8" x14ac:dyDescent="0.2">
      <c r="A123" s="59" t="s">
        <v>2433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2434</v>
      </c>
    </row>
    <row r="125" spans="1:8" x14ac:dyDescent="0.2">
      <c r="A125" s="1" t="s">
        <v>2435</v>
      </c>
    </row>
    <row r="126" spans="1:8" x14ac:dyDescent="0.2">
      <c r="A126" s="1" t="s">
        <v>2436</v>
      </c>
    </row>
    <row r="128" spans="1:8" x14ac:dyDescent="0.2">
      <c r="A128" s="1" t="s">
        <v>78</v>
      </c>
    </row>
    <row r="130" spans="1:1" x14ac:dyDescent="0.2">
      <c r="A130" s="1" t="s">
        <v>2437</v>
      </c>
    </row>
    <row r="131" spans="1:1" x14ac:dyDescent="0.2">
      <c r="A131" s="1" t="s">
        <v>2438</v>
      </c>
    </row>
    <row r="132" spans="1:1" x14ac:dyDescent="0.2">
      <c r="A132" s="1" t="s">
        <v>2442</v>
      </c>
    </row>
    <row r="133" spans="1:1" x14ac:dyDescent="0.2">
      <c r="A133" s="1" t="s">
        <v>2443</v>
      </c>
    </row>
    <row r="134" spans="1:1" x14ac:dyDescent="0.2">
      <c r="A134" s="1" t="s">
        <v>2444</v>
      </c>
    </row>
    <row r="135" spans="1:1" x14ac:dyDescent="0.2">
      <c r="A135" s="1" t="s">
        <v>2445</v>
      </c>
    </row>
    <row r="136" spans="1:1" x14ac:dyDescent="0.2">
      <c r="A136" s="1" t="s">
        <v>2439</v>
      </c>
    </row>
    <row r="139" spans="1:1" x14ac:dyDescent="0.2">
      <c r="A139" s="1" t="s">
        <v>2440</v>
      </c>
    </row>
    <row r="147" spans="1:1" x14ac:dyDescent="0.2">
      <c r="A147" s="1" t="s">
        <v>2441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276" zoomScale="276" zoomScaleNormal="300" zoomScaleSheetLayoutView="207" workbookViewId="0">
      <selection activeCell="F86" sqref="F8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2454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9" t="s">
        <v>1152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344</v>
      </c>
      <c r="H4" s="42"/>
    </row>
    <row r="5" spans="1:8" x14ac:dyDescent="0.2">
      <c r="A5" s="64" t="s">
        <v>345</v>
      </c>
      <c r="H5" s="42"/>
    </row>
    <row r="6" spans="1:8" ht="17" thickBot="1" x14ac:dyDescent="0.25">
      <c r="A6" s="64" t="s">
        <v>346</v>
      </c>
      <c r="H6" s="42"/>
    </row>
    <row r="7" spans="1:8" x14ac:dyDescent="0.2">
      <c r="A7" s="69" t="s">
        <v>347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348</v>
      </c>
      <c r="E8" s="68"/>
      <c r="H8" s="42"/>
    </row>
    <row r="9" spans="1:8" ht="17" thickBot="1" x14ac:dyDescent="0.25">
      <c r="A9" s="65" t="s">
        <v>349</v>
      </c>
      <c r="B9" s="44"/>
      <c r="C9" s="44"/>
      <c r="D9" s="44"/>
      <c r="E9" s="326"/>
      <c r="F9" s="44"/>
      <c r="G9" s="44"/>
      <c r="H9" s="45"/>
    </row>
    <row r="10" spans="1:8" x14ac:dyDescent="0.2">
      <c r="A10" s="64" t="s">
        <v>2455</v>
      </c>
      <c r="E10" s="68"/>
      <c r="H10" s="42"/>
    </row>
    <row r="11" spans="1:8" x14ac:dyDescent="0.2">
      <c r="A11" s="64" t="s">
        <v>351</v>
      </c>
      <c r="H11" s="42"/>
    </row>
    <row r="12" spans="1:8" x14ac:dyDescent="0.2">
      <c r="A12" s="64" t="s">
        <v>352</v>
      </c>
      <c r="H12" s="42"/>
    </row>
    <row r="13" spans="1:8" x14ac:dyDescent="0.2">
      <c r="A13" s="64" t="s">
        <v>353</v>
      </c>
      <c r="H13" s="42"/>
    </row>
    <row r="14" spans="1:8" x14ac:dyDescent="0.2">
      <c r="A14" s="64" t="s">
        <v>354</v>
      </c>
      <c r="H14" s="42"/>
    </row>
    <row r="15" spans="1:8" x14ac:dyDescent="0.2">
      <c r="A15" s="64" t="s">
        <v>355</v>
      </c>
      <c r="H15" s="42"/>
    </row>
    <row r="16" spans="1:8" ht="17" thickBot="1" x14ac:dyDescent="0.25">
      <c r="A16" s="65" t="s">
        <v>356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357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358</v>
      </c>
      <c r="B19" s="38" t="s">
        <v>359</v>
      </c>
      <c r="C19" s="38"/>
      <c r="D19" s="38" t="s">
        <v>360</v>
      </c>
      <c r="E19" s="38"/>
      <c r="F19" s="38" t="s">
        <v>361</v>
      </c>
      <c r="G19" s="38"/>
      <c r="H19" s="77"/>
    </row>
    <row r="20" spans="1:8" x14ac:dyDescent="0.2">
      <c r="A20" s="64">
        <v>1</v>
      </c>
      <c r="B20" s="1" t="s">
        <v>362</v>
      </c>
      <c r="E20" s="1" t="s">
        <v>363</v>
      </c>
      <c r="F20" s="1" t="s">
        <v>364</v>
      </c>
      <c r="H20" s="42"/>
    </row>
    <row r="21" spans="1:8" x14ac:dyDescent="0.2">
      <c r="A21" s="64">
        <v>2</v>
      </c>
      <c r="B21" s="1" t="s">
        <v>365</v>
      </c>
      <c r="E21" s="1" t="s">
        <v>366</v>
      </c>
      <c r="F21" s="1" t="s">
        <v>367</v>
      </c>
      <c r="H21" s="42"/>
    </row>
    <row r="22" spans="1:8" x14ac:dyDescent="0.2">
      <c r="A22" s="64">
        <v>3</v>
      </c>
      <c r="B22" s="1" t="s">
        <v>368</v>
      </c>
      <c r="E22" s="1" t="s">
        <v>369</v>
      </c>
      <c r="F22" s="1" t="s">
        <v>370</v>
      </c>
      <c r="H22" s="42"/>
    </row>
    <row r="23" spans="1:8" x14ac:dyDescent="0.2">
      <c r="A23" s="64">
        <v>4</v>
      </c>
      <c r="B23" s="1" t="s">
        <v>371</v>
      </c>
      <c r="E23" s="1" t="s">
        <v>372</v>
      </c>
      <c r="F23" s="1" t="s">
        <v>373</v>
      </c>
      <c r="H23" s="42"/>
    </row>
    <row r="24" spans="1:8" x14ac:dyDescent="0.2">
      <c r="A24" s="64">
        <v>5</v>
      </c>
      <c r="B24" s="1" t="s">
        <v>374</v>
      </c>
      <c r="E24" s="1" t="s">
        <v>375</v>
      </c>
      <c r="F24" s="1" t="s">
        <v>376</v>
      </c>
      <c r="H24" s="42"/>
    </row>
    <row r="25" spans="1:8" x14ac:dyDescent="0.2">
      <c r="A25" s="64">
        <v>6</v>
      </c>
      <c r="E25" s="1" t="s">
        <v>432</v>
      </c>
      <c r="F25" s="1" t="s">
        <v>433</v>
      </c>
      <c r="H25" s="42"/>
    </row>
    <row r="26" spans="1:8" x14ac:dyDescent="0.2">
      <c r="A26" s="64">
        <v>7</v>
      </c>
      <c r="E26" s="1" t="s">
        <v>434</v>
      </c>
      <c r="F26" s="1" t="s">
        <v>435</v>
      </c>
      <c r="H26" s="42"/>
    </row>
    <row r="27" spans="1:8" x14ac:dyDescent="0.2">
      <c r="A27" s="64">
        <v>8</v>
      </c>
      <c r="E27" s="1" t="s">
        <v>436</v>
      </c>
      <c r="F27" s="1" t="s">
        <v>435</v>
      </c>
      <c r="H27" s="42"/>
    </row>
    <row r="28" spans="1:8" x14ac:dyDescent="0.2">
      <c r="A28" s="64">
        <v>9</v>
      </c>
      <c r="E28" s="1" t="s">
        <v>437</v>
      </c>
      <c r="F28" s="1" t="s">
        <v>439</v>
      </c>
      <c r="H28" s="42"/>
    </row>
    <row r="29" spans="1:8" x14ac:dyDescent="0.2">
      <c r="A29" s="64">
        <v>10</v>
      </c>
      <c r="E29" s="1" t="s">
        <v>438</v>
      </c>
      <c r="F29" s="1" t="s">
        <v>439</v>
      </c>
      <c r="H29" s="42"/>
    </row>
    <row r="30" spans="1:8" x14ac:dyDescent="0.2">
      <c r="A30" s="64"/>
      <c r="H30" s="42"/>
    </row>
    <row r="31" spans="1:8" x14ac:dyDescent="0.2">
      <c r="A31" s="64" t="s">
        <v>377</v>
      </c>
      <c r="H31" s="42"/>
    </row>
    <row r="32" spans="1:8" x14ac:dyDescent="0.2">
      <c r="A32" s="64" t="s">
        <v>378</v>
      </c>
      <c r="H32" s="42"/>
    </row>
    <row r="33" spans="1:9" x14ac:dyDescent="0.2">
      <c r="A33" s="64" t="s">
        <v>379</v>
      </c>
      <c r="H33" s="42"/>
    </row>
    <row r="34" spans="1:9" ht="17" thickBot="1" x14ac:dyDescent="0.25">
      <c r="A34" s="65" t="s">
        <v>380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1262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381</v>
      </c>
      <c r="B38" s="1" t="s">
        <v>1263</v>
      </c>
      <c r="H38" s="42"/>
    </row>
    <row r="39" spans="1:9" x14ac:dyDescent="0.2">
      <c r="A39" s="64"/>
      <c r="B39" s="1" t="s">
        <v>382</v>
      </c>
      <c r="H39" s="42"/>
    </row>
    <row r="40" spans="1:9" x14ac:dyDescent="0.2">
      <c r="A40" s="64"/>
      <c r="H40" s="42"/>
    </row>
    <row r="41" spans="1:9" x14ac:dyDescent="0.2">
      <c r="A41" s="64" t="s">
        <v>383</v>
      </c>
      <c r="B41" s="1" t="s">
        <v>384</v>
      </c>
      <c r="H41" s="42"/>
    </row>
    <row r="42" spans="1:9" x14ac:dyDescent="0.2">
      <c r="A42" s="64"/>
      <c r="B42" s="1" t="s">
        <v>1264</v>
      </c>
      <c r="H42" s="42"/>
    </row>
    <row r="43" spans="1:9" x14ac:dyDescent="0.2">
      <c r="A43" s="64"/>
      <c r="H43" s="42"/>
    </row>
    <row r="44" spans="1:9" x14ac:dyDescent="0.2">
      <c r="A44" s="64" t="s">
        <v>385</v>
      </c>
      <c r="B44" s="1" t="s">
        <v>388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386</v>
      </c>
      <c r="B46" s="44" t="s">
        <v>387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48" t="s">
        <v>2456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2457</v>
      </c>
    </row>
    <row r="50" spans="1:9" x14ac:dyDescent="0.2">
      <c r="B50" s="1" t="s">
        <v>2458</v>
      </c>
    </row>
    <row r="51" spans="1:9" x14ac:dyDescent="0.2">
      <c r="B51" s="1" t="s">
        <v>2459</v>
      </c>
    </row>
    <row r="52" spans="1:9" x14ac:dyDescent="0.2">
      <c r="A52" s="62" t="s">
        <v>766</v>
      </c>
    </row>
    <row r="53" spans="1:9" x14ac:dyDescent="0.2">
      <c r="A53" s="62" t="s">
        <v>2460</v>
      </c>
    </row>
    <row r="54" spans="1:9" x14ac:dyDescent="0.2">
      <c r="A54" s="62" t="s">
        <v>2461</v>
      </c>
    </row>
    <row r="55" spans="1:9" ht="17" thickBot="1" x14ac:dyDescent="0.25">
      <c r="A55" s="62" t="s">
        <v>2462</v>
      </c>
    </row>
    <row r="56" spans="1:9" ht="17" thickBot="1" x14ac:dyDescent="0.25">
      <c r="F56" s="353" t="s">
        <v>2475</v>
      </c>
      <c r="G56" s="354"/>
      <c r="H56" s="354"/>
      <c r="I56" s="355"/>
    </row>
    <row r="57" spans="1:9" ht="17" thickBot="1" x14ac:dyDescent="0.25">
      <c r="G57" s="224" t="s">
        <v>2465</v>
      </c>
    </row>
    <row r="58" spans="1:9" ht="17" thickBot="1" x14ac:dyDescent="0.25">
      <c r="A58" s="353" t="s">
        <v>2474</v>
      </c>
      <c r="B58" s="354"/>
      <c r="C58" s="354"/>
      <c r="D58" s="355"/>
      <c r="G58" s="224" t="s">
        <v>2466</v>
      </c>
    </row>
    <row r="59" spans="1:9" x14ac:dyDescent="0.2">
      <c r="A59" s="161" t="s">
        <v>1282</v>
      </c>
      <c r="B59" s="21"/>
      <c r="C59" s="21"/>
      <c r="D59" s="21" t="s">
        <v>280</v>
      </c>
      <c r="I59" s="21" t="s">
        <v>280</v>
      </c>
    </row>
    <row r="60" spans="1:9" x14ac:dyDescent="0.2">
      <c r="A60" s="161" t="s">
        <v>1504</v>
      </c>
      <c r="B60" s="21" t="s">
        <v>280</v>
      </c>
      <c r="C60" s="21" t="s">
        <v>280</v>
      </c>
      <c r="D60" s="21" t="s">
        <v>2463</v>
      </c>
      <c r="I60" s="21"/>
    </row>
    <row r="61" spans="1:9" x14ac:dyDescent="0.2">
      <c r="A61" s="162" t="s">
        <v>71</v>
      </c>
      <c r="B61" s="75" t="s">
        <v>390</v>
      </c>
      <c r="C61" s="75" t="s">
        <v>392</v>
      </c>
      <c r="D61" s="75" t="s">
        <v>2464</v>
      </c>
      <c r="I61" s="21"/>
    </row>
    <row r="62" spans="1:9" x14ac:dyDescent="0.2">
      <c r="A62" s="327">
        <v>0</v>
      </c>
      <c r="B62" s="328">
        <v>-10</v>
      </c>
      <c r="C62" s="328">
        <f>50-A62-8</f>
        <v>42</v>
      </c>
      <c r="D62" s="328">
        <f>C62+B62</f>
        <v>32</v>
      </c>
      <c r="I62" s="21"/>
    </row>
    <row r="63" spans="1:9" x14ac:dyDescent="0.2">
      <c r="A63" s="327">
        <f>A62+10</f>
        <v>10</v>
      </c>
      <c r="B63" s="328">
        <v>-10</v>
      </c>
      <c r="C63" s="328">
        <f>50-10-8</f>
        <v>32</v>
      </c>
      <c r="D63" s="328">
        <f t="shared" ref="D63:D72" si="0">C63+B63</f>
        <v>22</v>
      </c>
    </row>
    <row r="64" spans="1:9" x14ac:dyDescent="0.2">
      <c r="A64" s="327">
        <f t="shared" ref="A64:A72" si="1">A63+10</f>
        <v>20</v>
      </c>
      <c r="B64" s="328">
        <v>-10</v>
      </c>
      <c r="C64" s="328">
        <f>50-20-8</f>
        <v>22</v>
      </c>
      <c r="D64" s="328">
        <f t="shared" si="0"/>
        <v>12</v>
      </c>
    </row>
    <row r="65" spans="1:6" x14ac:dyDescent="0.2">
      <c r="A65" s="327">
        <f t="shared" si="1"/>
        <v>30</v>
      </c>
      <c r="B65" s="328">
        <v>-10</v>
      </c>
      <c r="C65" s="328">
        <f>50-A65-8</f>
        <v>12</v>
      </c>
      <c r="D65" s="328">
        <f t="shared" si="0"/>
        <v>2</v>
      </c>
    </row>
    <row r="66" spans="1:6" x14ac:dyDescent="0.2">
      <c r="A66" s="312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312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312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27">
        <f t="shared" si="1"/>
        <v>70</v>
      </c>
      <c r="B69" s="328">
        <f>70-50-10</f>
        <v>10</v>
      </c>
      <c r="C69" s="328">
        <v>-8</v>
      </c>
      <c r="D69" s="328">
        <f t="shared" si="0"/>
        <v>2</v>
      </c>
      <c r="F69" s="48" t="s">
        <v>71</v>
      </c>
    </row>
    <row r="70" spans="1:6" x14ac:dyDescent="0.2">
      <c r="A70" s="327">
        <f t="shared" si="1"/>
        <v>80</v>
      </c>
      <c r="B70" s="328">
        <f>A70-50-10</f>
        <v>20</v>
      </c>
      <c r="C70" s="328">
        <v>-8</v>
      </c>
      <c r="D70" s="328">
        <f t="shared" si="0"/>
        <v>12</v>
      </c>
    </row>
    <row r="71" spans="1:6" x14ac:dyDescent="0.2">
      <c r="A71" s="327">
        <f>A70+10</f>
        <v>90</v>
      </c>
      <c r="B71" s="328">
        <f t="shared" ref="B71:B72" si="2">A71-50-10</f>
        <v>30</v>
      </c>
      <c r="C71" s="328">
        <v>-8</v>
      </c>
      <c r="D71" s="328">
        <f t="shared" si="0"/>
        <v>22</v>
      </c>
    </row>
    <row r="72" spans="1:6" x14ac:dyDescent="0.2">
      <c r="A72" s="327">
        <f t="shared" si="1"/>
        <v>100</v>
      </c>
      <c r="B72" s="328">
        <f t="shared" si="2"/>
        <v>40</v>
      </c>
      <c r="C72" s="328">
        <v>-8</v>
      </c>
      <c r="D72" s="328">
        <f t="shared" si="0"/>
        <v>32</v>
      </c>
    </row>
    <row r="74" spans="1:6" ht="17" thickBot="1" x14ac:dyDescent="0.25">
      <c r="F74" s="1" t="s">
        <v>2467</v>
      </c>
    </row>
    <row r="75" spans="1:6" ht="17" thickBot="1" x14ac:dyDescent="0.25">
      <c r="A75" s="248" t="s">
        <v>2476</v>
      </c>
      <c r="B75" s="6"/>
      <c r="C75" s="6"/>
      <c r="D75" s="7"/>
      <c r="F75" s="1" t="s">
        <v>2468</v>
      </c>
    </row>
    <row r="76" spans="1:6" x14ac:dyDescent="0.2">
      <c r="A76" s="62" t="s">
        <v>2470</v>
      </c>
      <c r="F76" s="1" t="s">
        <v>2469</v>
      </c>
    </row>
    <row r="77" spans="1:6" x14ac:dyDescent="0.2">
      <c r="A77" s="62" t="s">
        <v>2471</v>
      </c>
    </row>
    <row r="78" spans="1:6" x14ac:dyDescent="0.2">
      <c r="A78" s="62" t="s">
        <v>2472</v>
      </c>
    </row>
    <row r="79" spans="1:6" x14ac:dyDescent="0.2">
      <c r="A79" s="62" t="s">
        <v>2473</v>
      </c>
    </row>
    <row r="80" spans="1:6" ht="17" thickBot="1" x14ac:dyDescent="0.25"/>
    <row r="81" spans="1:11" ht="17" thickBot="1" x14ac:dyDescent="0.25">
      <c r="A81" s="248" t="s">
        <v>2477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2485</v>
      </c>
      <c r="J82" s="107"/>
      <c r="K82" s="107"/>
    </row>
    <row r="83" spans="1:11" ht="17" thickBot="1" x14ac:dyDescent="0.25">
      <c r="A83" s="62" t="s">
        <v>2478</v>
      </c>
      <c r="I83" s="1" t="s">
        <v>2490</v>
      </c>
    </row>
    <row r="84" spans="1:11" x14ac:dyDescent="0.2">
      <c r="A84" s="62" t="s">
        <v>2479</v>
      </c>
      <c r="E84" s="97"/>
      <c r="F84" s="39"/>
      <c r="G84" s="39"/>
      <c r="H84" s="40"/>
      <c r="I84" s="1" t="s">
        <v>2486</v>
      </c>
    </row>
    <row r="85" spans="1:11" x14ac:dyDescent="0.2">
      <c r="B85" s="1" t="s">
        <v>1077</v>
      </c>
      <c r="C85" s="1" t="s">
        <v>2480</v>
      </c>
      <c r="E85" s="41"/>
      <c r="H85" s="42"/>
      <c r="I85" s="1" t="s">
        <v>2487</v>
      </c>
    </row>
    <row r="86" spans="1:11" x14ac:dyDescent="0.2">
      <c r="B86" s="1" t="s">
        <v>1076</v>
      </c>
      <c r="C86" s="1" t="s">
        <v>2481</v>
      </c>
      <c r="E86" s="41"/>
      <c r="H86" s="42"/>
      <c r="I86" s="1" t="s">
        <v>2488</v>
      </c>
    </row>
    <row r="87" spans="1:11" x14ac:dyDescent="0.2">
      <c r="A87" s="62" t="s">
        <v>2489</v>
      </c>
      <c r="E87" s="41"/>
      <c r="H87" s="42"/>
      <c r="I87" s="1" t="s">
        <v>2491</v>
      </c>
    </row>
    <row r="88" spans="1:11" x14ac:dyDescent="0.2">
      <c r="A88" s="62" t="s">
        <v>766</v>
      </c>
      <c r="E88" s="41"/>
      <c r="H88" s="42"/>
      <c r="I88" s="1" t="s">
        <v>2492</v>
      </c>
    </row>
    <row r="89" spans="1:11" x14ac:dyDescent="0.2">
      <c r="A89" s="62" t="s">
        <v>2482</v>
      </c>
      <c r="E89" s="41"/>
      <c r="H89" s="42"/>
      <c r="I89" s="1" t="s">
        <v>2493</v>
      </c>
    </row>
    <row r="90" spans="1:11" x14ac:dyDescent="0.2">
      <c r="A90" s="62" t="s">
        <v>2483</v>
      </c>
      <c r="E90" s="41"/>
      <c r="H90" s="42"/>
      <c r="I90" s="1" t="s">
        <v>2488</v>
      </c>
    </row>
    <row r="91" spans="1:11" x14ac:dyDescent="0.2">
      <c r="A91" s="62" t="s">
        <v>2484</v>
      </c>
      <c r="E91" s="41"/>
      <c r="H91" s="42"/>
    </row>
    <row r="92" spans="1:11" ht="17" thickBot="1" x14ac:dyDescent="0.25">
      <c r="E92" s="41"/>
      <c r="H92" s="42"/>
      <c r="I92" s="1" t="s">
        <v>585</v>
      </c>
    </row>
    <row r="93" spans="1:11" x14ac:dyDescent="0.2">
      <c r="A93" s="330" t="s">
        <v>71</v>
      </c>
      <c r="B93" s="269" t="s">
        <v>2502</v>
      </c>
      <c r="C93" s="269" t="s">
        <v>2503</v>
      </c>
      <c r="D93" s="269" t="s">
        <v>402</v>
      </c>
      <c r="E93" s="41"/>
      <c r="H93" s="42"/>
      <c r="I93" s="1" t="s">
        <v>2494</v>
      </c>
    </row>
    <row r="94" spans="1:11" x14ac:dyDescent="0.2">
      <c r="A94" s="216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2495</v>
      </c>
    </row>
    <row r="95" spans="1:11" x14ac:dyDescent="0.2">
      <c r="A95" s="216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2496</v>
      </c>
    </row>
    <row r="96" spans="1:11" x14ac:dyDescent="0.2">
      <c r="A96" s="216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2497</v>
      </c>
    </row>
    <row r="97" spans="1:11" x14ac:dyDescent="0.2">
      <c r="A97" s="216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2498</v>
      </c>
    </row>
    <row r="98" spans="1:11" x14ac:dyDescent="0.2">
      <c r="A98" s="216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31">
        <f t="shared" si="5"/>
        <v>100</v>
      </c>
      <c r="B99" s="123">
        <v>-28</v>
      </c>
      <c r="C99" s="123">
        <v>-15</v>
      </c>
      <c r="D99" s="123">
        <f t="shared" si="4"/>
        <v>-43</v>
      </c>
      <c r="E99" s="41"/>
      <c r="H99" s="42"/>
    </row>
    <row r="100" spans="1:11" ht="17" thickBot="1" x14ac:dyDescent="0.25">
      <c r="A100" s="216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6">
        <f t="shared" si="5"/>
        <v>120</v>
      </c>
      <c r="B101" s="21">
        <f t="shared" ref="B101:B104" si="6">A101-100-28</f>
        <v>-8</v>
      </c>
      <c r="C101" s="21">
        <v>-15</v>
      </c>
      <c r="D101" s="218">
        <f t="shared" si="4"/>
        <v>-23</v>
      </c>
    </row>
    <row r="102" spans="1:11" x14ac:dyDescent="0.2">
      <c r="A102" s="216">
        <f t="shared" si="5"/>
        <v>130</v>
      </c>
      <c r="B102" s="21">
        <f t="shared" si="6"/>
        <v>2</v>
      </c>
      <c r="C102" s="21">
        <v>-15</v>
      </c>
      <c r="D102" s="218">
        <f t="shared" si="4"/>
        <v>-13</v>
      </c>
      <c r="F102" s="4" t="s">
        <v>2508</v>
      </c>
    </row>
    <row r="103" spans="1:11" x14ac:dyDescent="0.2">
      <c r="A103" s="216">
        <f t="shared" si="5"/>
        <v>140</v>
      </c>
      <c r="B103" s="21">
        <f t="shared" si="6"/>
        <v>12</v>
      </c>
      <c r="C103" s="21">
        <v>-15</v>
      </c>
      <c r="D103" s="218">
        <f t="shared" si="4"/>
        <v>-3</v>
      </c>
      <c r="F103" s="1" t="s">
        <v>2504</v>
      </c>
      <c r="I103" s="21">
        <v>-28</v>
      </c>
    </row>
    <row r="104" spans="1:11" ht="17" thickBot="1" x14ac:dyDescent="0.25">
      <c r="A104" s="332">
        <f>A103+10</f>
        <v>150</v>
      </c>
      <c r="B104" s="270">
        <f t="shared" si="6"/>
        <v>22</v>
      </c>
      <c r="C104" s="270">
        <v>-15</v>
      </c>
      <c r="D104" s="309">
        <f t="shared" si="4"/>
        <v>7</v>
      </c>
      <c r="F104" s="1" t="s">
        <v>2505</v>
      </c>
      <c r="I104" s="21">
        <v>85</v>
      </c>
      <c r="K104" s="1" t="s">
        <v>2506</v>
      </c>
    </row>
    <row r="105" spans="1:11" x14ac:dyDescent="0.2">
      <c r="A105" s="69"/>
      <c r="B105" s="39"/>
      <c r="C105" s="39"/>
      <c r="D105" s="40"/>
      <c r="F105" s="1" t="s">
        <v>2507</v>
      </c>
      <c r="I105" s="235">
        <f>I103+I104</f>
        <v>57</v>
      </c>
    </row>
    <row r="106" spans="1:11" x14ac:dyDescent="0.2">
      <c r="A106" s="95" t="s">
        <v>2512</v>
      </c>
      <c r="D106" s="42"/>
    </row>
    <row r="107" spans="1:11" x14ac:dyDescent="0.2">
      <c r="A107" s="64" t="s">
        <v>2513</v>
      </c>
      <c r="D107" s="42"/>
      <c r="F107" s="1" t="s">
        <v>2509</v>
      </c>
    </row>
    <row r="108" spans="1:11" x14ac:dyDescent="0.2">
      <c r="A108" s="64" t="s">
        <v>2514</v>
      </c>
      <c r="D108" s="42"/>
      <c r="F108" s="1" t="s">
        <v>2510</v>
      </c>
    </row>
    <row r="109" spans="1:11" ht="17" thickBot="1" x14ac:dyDescent="0.25">
      <c r="A109" s="65"/>
      <c r="B109" s="44"/>
      <c r="C109" s="44"/>
      <c r="D109" s="45"/>
      <c r="F109" s="1" t="s">
        <v>2511</v>
      </c>
    </row>
    <row r="112" spans="1:11" ht="21" x14ac:dyDescent="0.25">
      <c r="A112" s="329" t="s">
        <v>2499</v>
      </c>
    </row>
    <row r="116" spans="1:8" ht="17" thickBot="1" x14ac:dyDescent="0.25"/>
    <row r="117" spans="1:8" ht="17" thickBot="1" x14ac:dyDescent="0.25">
      <c r="A117" s="50" t="s">
        <v>2500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1265</v>
      </c>
    </row>
    <row r="120" spans="1:8" x14ac:dyDescent="0.2">
      <c r="A120" s="62" t="s">
        <v>394</v>
      </c>
    </row>
    <row r="121" spans="1:8" x14ac:dyDescent="0.2">
      <c r="A121" s="62" t="s">
        <v>413</v>
      </c>
    </row>
    <row r="123" spans="1:8" x14ac:dyDescent="0.2">
      <c r="B123" s="21" t="s">
        <v>389</v>
      </c>
      <c r="C123" s="171" t="s">
        <v>1266</v>
      </c>
    </row>
    <row r="124" spans="1:8" x14ac:dyDescent="0.2">
      <c r="B124" s="60" t="s">
        <v>390</v>
      </c>
      <c r="C124" s="60">
        <v>20</v>
      </c>
    </row>
    <row r="125" spans="1:8" x14ac:dyDescent="0.2">
      <c r="B125" s="21" t="s">
        <v>391</v>
      </c>
      <c r="C125" s="21">
        <v>10</v>
      </c>
    </row>
    <row r="126" spans="1:8" x14ac:dyDescent="0.2">
      <c r="B126" s="60" t="s">
        <v>392</v>
      </c>
      <c r="C126" s="60">
        <v>15</v>
      </c>
    </row>
    <row r="127" spans="1:8" x14ac:dyDescent="0.2">
      <c r="B127" s="21" t="s">
        <v>393</v>
      </c>
      <c r="C127" s="21">
        <v>24</v>
      </c>
    </row>
    <row r="129" spans="1:14" x14ac:dyDescent="0.2">
      <c r="A129" s="62" t="s">
        <v>403</v>
      </c>
    </row>
    <row r="130" spans="1:14" x14ac:dyDescent="0.2">
      <c r="A130" s="62" t="s">
        <v>1269</v>
      </c>
    </row>
    <row r="131" spans="1:14" x14ac:dyDescent="0.2">
      <c r="A131" s="62" t="s">
        <v>405</v>
      </c>
      <c r="I131" s="182" t="s">
        <v>1285</v>
      </c>
    </row>
    <row r="132" spans="1:14" ht="17" thickBot="1" x14ac:dyDescent="0.25">
      <c r="I132" s="182" t="s">
        <v>1284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83" t="s">
        <v>239</v>
      </c>
    </row>
    <row r="134" spans="1:14" s="25" customFormat="1" x14ac:dyDescent="0.2">
      <c r="A134" s="78"/>
      <c r="H134" s="27"/>
      <c r="I134" s="147" t="s">
        <v>1288</v>
      </c>
      <c r="N134" s="163" t="s">
        <v>280</v>
      </c>
    </row>
    <row r="135" spans="1:14" s="25" customFormat="1" x14ac:dyDescent="0.2">
      <c r="A135" s="78" t="s">
        <v>440</v>
      </c>
      <c r="H135" s="27"/>
      <c r="I135" s="147" t="s">
        <v>363</v>
      </c>
    </row>
    <row r="136" spans="1:14" s="25" customFormat="1" x14ac:dyDescent="0.2">
      <c r="A136" s="78" t="s">
        <v>396</v>
      </c>
      <c r="H136" s="27"/>
    </row>
    <row r="137" spans="1:14" s="25" customFormat="1" ht="17" thickBot="1" x14ac:dyDescent="0.25">
      <c r="A137" s="78" t="s">
        <v>397</v>
      </c>
      <c r="H137" s="27"/>
    </row>
    <row r="138" spans="1:14" s="25" customFormat="1" x14ac:dyDescent="0.2">
      <c r="A138" s="78" t="s">
        <v>212</v>
      </c>
      <c r="B138" s="32" t="s">
        <v>1267</v>
      </c>
      <c r="C138" s="32" t="s">
        <v>1270</v>
      </c>
      <c r="D138" s="131" t="s">
        <v>1268</v>
      </c>
      <c r="E138" s="172" t="s">
        <v>1271</v>
      </c>
      <c r="F138" s="93" t="s">
        <v>1272</v>
      </c>
      <c r="H138" s="27"/>
    </row>
    <row r="139" spans="1:14" s="25" customFormat="1" x14ac:dyDescent="0.2">
      <c r="A139" s="80" t="s">
        <v>71</v>
      </c>
      <c r="B139" s="81" t="s">
        <v>398</v>
      </c>
      <c r="C139" s="81" t="s">
        <v>399</v>
      </c>
      <c r="D139" s="106" t="s">
        <v>400</v>
      </c>
      <c r="E139" s="173" t="s">
        <v>401</v>
      </c>
      <c r="F139" s="177" t="s">
        <v>402</v>
      </c>
      <c r="H139" s="27"/>
      <c r="I139" s="25" t="s">
        <v>1286</v>
      </c>
      <c r="N139" s="184">
        <v>50</v>
      </c>
    </row>
    <row r="140" spans="1:14" s="25" customFormat="1" ht="17" thickBot="1" x14ac:dyDescent="0.25">
      <c r="A140" s="181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74">
        <f>50-15</f>
        <v>35</v>
      </c>
      <c r="F140" s="178">
        <f>-20+35</f>
        <v>15</v>
      </c>
      <c r="H140" s="27"/>
      <c r="I140" s="25" t="s">
        <v>1287</v>
      </c>
    </row>
    <row r="141" spans="1:14" s="25" customFormat="1" x14ac:dyDescent="0.2">
      <c r="A141" s="188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74">
        <f>40-15</f>
        <v>25</v>
      </c>
      <c r="F141" s="186">
        <f>-20+25</f>
        <v>5</v>
      </c>
      <c r="H141" s="27"/>
    </row>
    <row r="142" spans="1:14" ht="17" thickBot="1" x14ac:dyDescent="0.25">
      <c r="A142" s="189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74">
        <f>30-15</f>
        <v>15</v>
      </c>
      <c r="F142" s="187">
        <f>-20+15</f>
        <v>-5</v>
      </c>
      <c r="G142" s="73"/>
      <c r="H142" s="74"/>
    </row>
    <row r="143" spans="1:14" x14ac:dyDescent="0.2">
      <c r="A143" s="185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74">
        <f t="shared" ref="E143:E150" si="9">C143-15</f>
        <v>5</v>
      </c>
      <c r="F143" s="180">
        <f t="shared" ref="F143:F150" si="10">D143+E143</f>
        <v>-15</v>
      </c>
      <c r="G143" s="73"/>
      <c r="H143" s="74"/>
    </row>
    <row r="144" spans="1:14" x14ac:dyDescent="0.2">
      <c r="A144" s="185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74">
        <f t="shared" si="9"/>
        <v>-5</v>
      </c>
      <c r="F144" s="180">
        <f t="shared" si="10"/>
        <v>-25</v>
      </c>
      <c r="G144" s="73"/>
      <c r="H144" s="74"/>
    </row>
    <row r="145" spans="1:14" x14ac:dyDescent="0.2">
      <c r="A145" s="185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74">
        <f t="shared" si="9"/>
        <v>-15</v>
      </c>
      <c r="F145" s="180">
        <f t="shared" si="10"/>
        <v>-35</v>
      </c>
      <c r="G145" s="73"/>
      <c r="H145" s="74"/>
      <c r="I145" s="1" t="s">
        <v>1282</v>
      </c>
      <c r="M145" s="25"/>
      <c r="N145" s="25"/>
    </row>
    <row r="146" spans="1:14" x14ac:dyDescent="0.2">
      <c r="A146" s="185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74">
        <f t="shared" si="9"/>
        <v>-15</v>
      </c>
      <c r="F146" s="180">
        <f t="shared" si="10"/>
        <v>-25</v>
      </c>
      <c r="G146" s="73"/>
      <c r="H146" s="74"/>
      <c r="I146" s="1" t="s">
        <v>1283</v>
      </c>
      <c r="M146" s="25"/>
      <c r="N146" s="32">
        <v>0</v>
      </c>
    </row>
    <row r="147" spans="1:14" ht="17" thickBot="1" x14ac:dyDescent="0.25">
      <c r="A147" s="185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74">
        <f t="shared" si="9"/>
        <v>-15</v>
      </c>
      <c r="F147" s="180">
        <f t="shared" si="10"/>
        <v>-15</v>
      </c>
      <c r="G147" s="73"/>
      <c r="H147" s="74"/>
      <c r="K147" s="25">
        <v>85</v>
      </c>
      <c r="L147" s="193">
        <v>50</v>
      </c>
      <c r="M147" s="25"/>
      <c r="N147" s="25">
        <v>15</v>
      </c>
    </row>
    <row r="148" spans="1:14" x14ac:dyDescent="0.2">
      <c r="A148" s="191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74">
        <f t="shared" si="9"/>
        <v>-15</v>
      </c>
      <c r="F148" s="190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92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74">
        <f t="shared" si="9"/>
        <v>-15</v>
      </c>
      <c r="F149" s="179">
        <f t="shared" si="10"/>
        <v>5</v>
      </c>
      <c r="G149" s="73"/>
      <c r="H149" s="74"/>
    </row>
    <row r="150" spans="1:14" ht="17" thickBot="1" x14ac:dyDescent="0.25">
      <c r="A150" s="181">
        <f t="shared" si="8"/>
        <v>100</v>
      </c>
      <c r="B150" s="32">
        <f>100-50</f>
        <v>50</v>
      </c>
      <c r="C150" s="32">
        <v>0</v>
      </c>
      <c r="D150" s="175">
        <f>B150-20</f>
        <v>30</v>
      </c>
      <c r="E150" s="176">
        <f t="shared" si="9"/>
        <v>-15</v>
      </c>
      <c r="F150" s="179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1273</v>
      </c>
      <c r="H152" s="42"/>
    </row>
    <row r="153" spans="1:14" x14ac:dyDescent="0.2">
      <c r="A153" s="64" t="s">
        <v>1274</v>
      </c>
      <c r="H153" s="42"/>
    </row>
    <row r="154" spans="1:14" x14ac:dyDescent="0.2">
      <c r="A154" s="64" t="s">
        <v>1281</v>
      </c>
      <c r="H154" s="42"/>
    </row>
    <row r="155" spans="1:14" x14ac:dyDescent="0.2">
      <c r="A155" s="64" t="s">
        <v>1275</v>
      </c>
      <c r="H155" s="42"/>
    </row>
    <row r="156" spans="1:14" x14ac:dyDescent="0.2">
      <c r="A156" s="64" t="s">
        <v>1276</v>
      </c>
      <c r="H156" s="42"/>
      <c r="I156" s="1" t="s">
        <v>1289</v>
      </c>
    </row>
    <row r="157" spans="1:14" x14ac:dyDescent="0.2">
      <c r="A157" s="64" t="s">
        <v>1277</v>
      </c>
      <c r="H157" s="42"/>
      <c r="I157" s="1" t="s">
        <v>1290</v>
      </c>
    </row>
    <row r="158" spans="1:14" x14ac:dyDescent="0.2">
      <c r="A158" s="64" t="s">
        <v>1278</v>
      </c>
      <c r="H158" s="42"/>
      <c r="I158" s="1" t="s">
        <v>1291</v>
      </c>
    </row>
    <row r="159" spans="1:14" x14ac:dyDescent="0.2">
      <c r="A159" s="64" t="s">
        <v>1279</v>
      </c>
      <c r="H159" s="42"/>
      <c r="I159" s="1" t="s">
        <v>1292</v>
      </c>
    </row>
    <row r="160" spans="1:14" x14ac:dyDescent="0.2">
      <c r="A160" s="64" t="s">
        <v>1280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1293</v>
      </c>
    </row>
    <row r="163" spans="1:9" x14ac:dyDescent="0.2">
      <c r="A163" s="64"/>
      <c r="H163" s="42"/>
      <c r="I163" s="1" t="s">
        <v>1294</v>
      </c>
    </row>
    <row r="164" spans="1:9" x14ac:dyDescent="0.2">
      <c r="A164" s="64"/>
      <c r="H164" s="42"/>
      <c r="I164" s="1" t="s">
        <v>1295</v>
      </c>
    </row>
    <row r="165" spans="1:9" x14ac:dyDescent="0.2">
      <c r="A165" s="64"/>
      <c r="H165" s="42"/>
      <c r="I165" s="1" t="s">
        <v>1296</v>
      </c>
    </row>
    <row r="166" spans="1:9" x14ac:dyDescent="0.2">
      <c r="A166" s="64"/>
      <c r="H166" s="42"/>
      <c r="I166" s="1" t="s">
        <v>1297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1298</v>
      </c>
    </row>
    <row r="168" spans="1:9" x14ac:dyDescent="0.2">
      <c r="I168" s="1" t="s">
        <v>1299</v>
      </c>
    </row>
    <row r="170" spans="1:9" x14ac:dyDescent="0.2">
      <c r="I170" s="1" t="s">
        <v>1300</v>
      </c>
    </row>
    <row r="171" spans="1:9" x14ac:dyDescent="0.2">
      <c r="I171" s="1" t="s">
        <v>1301</v>
      </c>
    </row>
    <row r="172" spans="1:9" x14ac:dyDescent="0.2">
      <c r="I172" s="1" t="s">
        <v>1302</v>
      </c>
    </row>
    <row r="173" spans="1:9" x14ac:dyDescent="0.2">
      <c r="I173" s="1" t="s">
        <v>1303</v>
      </c>
    </row>
    <row r="175" spans="1:9" ht="17" thickBot="1" x14ac:dyDescent="0.25"/>
    <row r="176" spans="1:9" ht="17" thickBot="1" x14ac:dyDescent="0.25">
      <c r="A176" s="50" t="s">
        <v>2501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1304</v>
      </c>
    </row>
    <row r="179" spans="1:8" x14ac:dyDescent="0.2">
      <c r="A179" s="62" t="s">
        <v>394</v>
      </c>
    </row>
    <row r="180" spans="1:8" x14ac:dyDescent="0.2">
      <c r="A180" s="62" t="s">
        <v>413</v>
      </c>
    </row>
    <row r="182" spans="1:8" x14ac:dyDescent="0.2">
      <c r="B182" s="21" t="s">
        <v>389</v>
      </c>
      <c r="C182" s="48" t="s">
        <v>1266</v>
      </c>
    </row>
    <row r="183" spans="1:8" x14ac:dyDescent="0.2">
      <c r="B183" s="21" t="s">
        <v>1307</v>
      </c>
      <c r="C183" s="21">
        <v>10</v>
      </c>
    </row>
    <row r="184" spans="1:8" x14ac:dyDescent="0.2">
      <c r="B184" s="21" t="s">
        <v>407</v>
      </c>
      <c r="C184" s="21">
        <v>2</v>
      </c>
    </row>
    <row r="185" spans="1:8" x14ac:dyDescent="0.2">
      <c r="B185" s="21" t="s">
        <v>391</v>
      </c>
      <c r="C185" s="21">
        <v>1</v>
      </c>
    </row>
    <row r="186" spans="1:8" x14ac:dyDescent="0.2">
      <c r="B186" s="21" t="s">
        <v>1308</v>
      </c>
      <c r="C186" s="21">
        <v>15</v>
      </c>
    </row>
    <row r="188" spans="1:8" x14ac:dyDescent="0.2">
      <c r="A188" s="62" t="s">
        <v>403</v>
      </c>
    </row>
    <row r="189" spans="1:8" x14ac:dyDescent="0.2">
      <c r="A189" s="62" t="s">
        <v>1342</v>
      </c>
    </row>
    <row r="190" spans="1:8" x14ac:dyDescent="0.2">
      <c r="A190" s="62" t="s">
        <v>1343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94"/>
      <c r="H193" s="27"/>
    </row>
    <row r="194" spans="1:14" s="25" customFormat="1" x14ac:dyDescent="0.2">
      <c r="A194" s="194" t="s">
        <v>1305</v>
      </c>
      <c r="H194" s="27"/>
    </row>
    <row r="195" spans="1:14" s="25" customFormat="1" ht="17" thickBot="1" x14ac:dyDescent="0.25">
      <c r="A195" s="194"/>
      <c r="C195" s="155" t="s">
        <v>1306</v>
      </c>
      <c r="H195" s="27"/>
    </row>
    <row r="196" spans="1:14" s="25" customFormat="1" x14ac:dyDescent="0.2">
      <c r="A196" s="194"/>
      <c r="B196" s="32" t="s">
        <v>740</v>
      </c>
      <c r="C196" s="32" t="s">
        <v>1326</v>
      </c>
      <c r="D196" s="131" t="s">
        <v>1319</v>
      </c>
      <c r="E196" s="172" t="s">
        <v>1319</v>
      </c>
      <c r="H196" s="27"/>
      <c r="I196" s="32" t="s">
        <v>740</v>
      </c>
    </row>
    <row r="197" spans="1:14" s="25" customFormat="1" x14ac:dyDescent="0.2">
      <c r="A197" s="194"/>
      <c r="B197" s="32" t="s">
        <v>1309</v>
      </c>
      <c r="C197" s="32" t="s">
        <v>1327</v>
      </c>
      <c r="D197" s="47" t="s">
        <v>213</v>
      </c>
      <c r="E197" s="174" t="s">
        <v>213</v>
      </c>
      <c r="H197" s="27"/>
      <c r="I197" s="25" t="s">
        <v>1315</v>
      </c>
    </row>
    <row r="198" spans="1:14" s="25" customFormat="1" x14ac:dyDescent="0.2">
      <c r="A198" s="194"/>
      <c r="B198" s="32" t="s">
        <v>406</v>
      </c>
      <c r="C198" s="32" t="s">
        <v>408</v>
      </c>
      <c r="D198" s="47" t="s">
        <v>1320</v>
      </c>
      <c r="E198" s="174" t="s">
        <v>1338</v>
      </c>
      <c r="F198" s="203" t="s">
        <v>1344</v>
      </c>
      <c r="H198" s="27"/>
      <c r="I198" s="25" t="s">
        <v>1312</v>
      </c>
    </row>
    <row r="199" spans="1:14" s="25" customFormat="1" x14ac:dyDescent="0.2">
      <c r="A199" s="194"/>
      <c r="B199" s="32">
        <v>0</v>
      </c>
      <c r="C199" s="32" t="s">
        <v>198</v>
      </c>
      <c r="D199" s="47" t="s">
        <v>1321</v>
      </c>
      <c r="E199" s="174" t="s">
        <v>1321</v>
      </c>
      <c r="F199" s="203" t="s">
        <v>1345</v>
      </c>
      <c r="H199" s="27"/>
      <c r="I199" s="25" t="s">
        <v>1316</v>
      </c>
    </row>
    <row r="200" spans="1:14" s="25" customFormat="1" x14ac:dyDescent="0.2">
      <c r="A200" s="204" t="s">
        <v>1346</v>
      </c>
      <c r="B200" s="32" t="s">
        <v>1314</v>
      </c>
      <c r="C200" s="32" t="s">
        <v>1310</v>
      </c>
      <c r="D200" s="47" t="s">
        <v>1322</v>
      </c>
      <c r="E200" s="174" t="s">
        <v>1322</v>
      </c>
      <c r="F200" s="197" t="s">
        <v>213</v>
      </c>
      <c r="H200" s="27"/>
      <c r="I200" s="25" t="s">
        <v>1317</v>
      </c>
    </row>
    <row r="201" spans="1:14" s="25" customFormat="1" x14ac:dyDescent="0.2">
      <c r="A201" s="204" t="s">
        <v>1347</v>
      </c>
      <c r="B201" s="32" t="s">
        <v>1311</v>
      </c>
      <c r="C201" s="32" t="s">
        <v>1337</v>
      </c>
      <c r="D201" s="47" t="s">
        <v>1323</v>
      </c>
      <c r="E201" s="174" t="s">
        <v>1323</v>
      </c>
      <c r="F201" s="197" t="s">
        <v>1340</v>
      </c>
      <c r="H201" s="27"/>
      <c r="I201" s="25" t="s">
        <v>1313</v>
      </c>
      <c r="N201" s="32" t="s">
        <v>144</v>
      </c>
    </row>
    <row r="202" spans="1:14" s="25" customFormat="1" x14ac:dyDescent="0.2">
      <c r="A202" s="204" t="s">
        <v>1345</v>
      </c>
      <c r="B202" s="32" t="s">
        <v>144</v>
      </c>
      <c r="C202" s="32">
        <v>0</v>
      </c>
      <c r="D202" s="47" t="s">
        <v>1324</v>
      </c>
      <c r="E202" s="174" t="s">
        <v>1324</v>
      </c>
      <c r="F202" s="32" t="s">
        <v>1341</v>
      </c>
      <c r="H202" s="27"/>
    </row>
    <row r="203" spans="1:14" s="25" customFormat="1" ht="17" thickBot="1" x14ac:dyDescent="0.25">
      <c r="A203" s="79" t="s">
        <v>71</v>
      </c>
      <c r="B203" s="85" t="s">
        <v>409</v>
      </c>
      <c r="C203" s="86" t="s">
        <v>410</v>
      </c>
      <c r="D203" s="198" t="s">
        <v>1318</v>
      </c>
      <c r="E203" s="199" t="s">
        <v>1339</v>
      </c>
      <c r="F203" s="202" t="s">
        <v>280</v>
      </c>
      <c r="H203" s="27"/>
      <c r="I203" s="32" t="s">
        <v>1319</v>
      </c>
    </row>
    <row r="204" spans="1:14" s="25" customFormat="1" ht="17" thickBot="1" x14ac:dyDescent="0.25">
      <c r="A204" s="205">
        <v>0</v>
      </c>
      <c r="B204" s="206">
        <v>0</v>
      </c>
      <c r="C204" s="207">
        <f>30-0</f>
        <v>30</v>
      </c>
      <c r="D204" s="208">
        <f t="shared" ref="D204:D214" si="11">B204-10</f>
        <v>-10</v>
      </c>
      <c r="E204" s="209">
        <f t="shared" ref="E204:E214" si="12">C204-15</f>
        <v>15</v>
      </c>
      <c r="F204" s="210">
        <f t="shared" ref="F204:F214" si="13">D204+E204</f>
        <v>5</v>
      </c>
      <c r="H204" s="27"/>
      <c r="I204" s="25" t="s">
        <v>1325</v>
      </c>
    </row>
    <row r="205" spans="1:14" s="25" customFormat="1" x14ac:dyDescent="0.2">
      <c r="A205" s="195">
        <f t="shared" ref="A205:A214" si="14">A204+10</f>
        <v>10</v>
      </c>
      <c r="B205" s="85">
        <v>0</v>
      </c>
      <c r="C205" s="86">
        <f>30-10</f>
        <v>20</v>
      </c>
      <c r="D205" s="198">
        <f t="shared" si="11"/>
        <v>-10</v>
      </c>
      <c r="E205" s="199">
        <f t="shared" si="12"/>
        <v>5</v>
      </c>
      <c r="F205" s="202">
        <f t="shared" si="13"/>
        <v>-5</v>
      </c>
      <c r="H205" s="27"/>
    </row>
    <row r="206" spans="1:14" s="25" customFormat="1" ht="17" thickBot="1" x14ac:dyDescent="0.25">
      <c r="A206" s="196">
        <f t="shared" si="14"/>
        <v>20</v>
      </c>
      <c r="B206" s="85">
        <v>0</v>
      </c>
      <c r="C206" s="86">
        <f>30-20</f>
        <v>10</v>
      </c>
      <c r="D206" s="198">
        <f t="shared" si="11"/>
        <v>-10</v>
      </c>
      <c r="E206" s="199">
        <f t="shared" si="12"/>
        <v>-5</v>
      </c>
      <c r="F206" s="202">
        <f t="shared" si="13"/>
        <v>-15</v>
      </c>
      <c r="H206" s="27"/>
      <c r="I206" s="32" t="s">
        <v>1326</v>
      </c>
    </row>
    <row r="207" spans="1:14" s="25" customFormat="1" ht="17" thickBot="1" x14ac:dyDescent="0.25">
      <c r="A207" s="211">
        <f t="shared" si="14"/>
        <v>30</v>
      </c>
      <c r="B207" s="206">
        <v>0</v>
      </c>
      <c r="C207" s="207">
        <v>0</v>
      </c>
      <c r="D207" s="208">
        <f t="shared" si="11"/>
        <v>-10</v>
      </c>
      <c r="E207" s="209">
        <f t="shared" si="12"/>
        <v>-15</v>
      </c>
      <c r="F207" s="210">
        <f t="shared" si="13"/>
        <v>-25</v>
      </c>
      <c r="H207" s="27"/>
      <c r="I207" s="25" t="s">
        <v>1328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8">
        <f t="shared" si="11"/>
        <v>0</v>
      </c>
      <c r="E208" s="199">
        <f t="shared" si="12"/>
        <v>-15</v>
      </c>
      <c r="F208" s="202">
        <f t="shared" si="13"/>
        <v>-15</v>
      </c>
      <c r="H208" s="27"/>
      <c r="I208" s="25" t="s">
        <v>1329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8">
        <f t="shared" si="11"/>
        <v>10</v>
      </c>
      <c r="E209" s="199">
        <f t="shared" si="12"/>
        <v>-15</v>
      </c>
      <c r="F209" s="202">
        <f t="shared" si="13"/>
        <v>-5</v>
      </c>
      <c r="H209" s="27"/>
      <c r="I209" s="25" t="s">
        <v>1330</v>
      </c>
      <c r="L209" s="25" t="s">
        <v>146</v>
      </c>
      <c r="M209" s="25" t="s">
        <v>1335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8">
        <f t="shared" si="11"/>
        <v>20</v>
      </c>
      <c r="E210" s="199">
        <f t="shared" si="12"/>
        <v>-15</v>
      </c>
      <c r="F210" s="202">
        <f t="shared" si="13"/>
        <v>5</v>
      </c>
      <c r="H210" s="27"/>
      <c r="L210" s="25" t="s">
        <v>1331</v>
      </c>
      <c r="M210" s="25" t="s">
        <v>1336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8">
        <f t="shared" si="11"/>
        <v>30</v>
      </c>
      <c r="E211" s="199">
        <f t="shared" si="12"/>
        <v>-15</v>
      </c>
      <c r="F211" s="202">
        <f t="shared" si="13"/>
        <v>15</v>
      </c>
      <c r="H211" s="27"/>
      <c r="I211" s="25" t="s">
        <v>1332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8">
        <f t="shared" si="11"/>
        <v>40</v>
      </c>
      <c r="E212" s="199">
        <f t="shared" si="12"/>
        <v>-15</v>
      </c>
      <c r="F212" s="202">
        <f t="shared" si="13"/>
        <v>25</v>
      </c>
      <c r="H212" s="27"/>
      <c r="L212" s="25" t="s">
        <v>1333</v>
      </c>
      <c r="M212" s="25" t="s">
        <v>1335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8">
        <f t="shared" si="11"/>
        <v>50</v>
      </c>
      <c r="E213" s="199">
        <f t="shared" si="12"/>
        <v>-15</v>
      </c>
      <c r="F213" s="202">
        <f t="shared" si="13"/>
        <v>35</v>
      </c>
      <c r="H213" s="27"/>
      <c r="L213" s="25" t="s">
        <v>1334</v>
      </c>
      <c r="M213" s="25" t="s">
        <v>1336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200">
        <f t="shared" si="11"/>
        <v>60</v>
      </c>
      <c r="E214" s="201">
        <f t="shared" si="12"/>
        <v>-15</v>
      </c>
      <c r="F214" s="202">
        <f t="shared" si="13"/>
        <v>45</v>
      </c>
      <c r="H214" s="27"/>
    </row>
    <row r="215" spans="1:16" s="25" customFormat="1" x14ac:dyDescent="0.2">
      <c r="A215" s="78"/>
      <c r="H215" s="27"/>
      <c r="N215" s="32" t="s">
        <v>280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1288</v>
      </c>
      <c r="P218" s="1" t="s">
        <v>1349</v>
      </c>
    </row>
    <row r="219" spans="1:16" x14ac:dyDescent="0.2">
      <c r="A219" s="64"/>
      <c r="H219" s="42"/>
      <c r="J219" s="1" t="s">
        <v>362</v>
      </c>
      <c r="P219" s="1" t="s">
        <v>1350</v>
      </c>
    </row>
    <row r="220" spans="1:16" x14ac:dyDescent="0.2">
      <c r="A220" s="64"/>
      <c r="H220" s="42"/>
      <c r="J220" s="1" t="s">
        <v>1348</v>
      </c>
      <c r="P220" s="1" t="s">
        <v>1351</v>
      </c>
    </row>
    <row r="221" spans="1:16" x14ac:dyDescent="0.2">
      <c r="A221" s="64"/>
      <c r="H221" s="42"/>
      <c r="P221" s="1" t="s">
        <v>1352</v>
      </c>
    </row>
    <row r="222" spans="1:16" x14ac:dyDescent="0.2">
      <c r="A222" s="64"/>
      <c r="H222" s="42"/>
      <c r="P222" s="1" t="s">
        <v>1353</v>
      </c>
    </row>
    <row r="223" spans="1:16" x14ac:dyDescent="0.2">
      <c r="A223" s="64"/>
      <c r="H223" s="42"/>
      <c r="P223" s="1" t="s">
        <v>1354</v>
      </c>
    </row>
    <row r="224" spans="1:16" x14ac:dyDescent="0.2">
      <c r="A224" s="64"/>
      <c r="H224" s="42"/>
      <c r="P224" s="1" t="s">
        <v>1355</v>
      </c>
    </row>
    <row r="225" spans="1:16" x14ac:dyDescent="0.2">
      <c r="A225" s="64"/>
      <c r="H225" s="42"/>
      <c r="P225" s="1" t="s">
        <v>1356</v>
      </c>
    </row>
    <row r="226" spans="1:16" x14ac:dyDescent="0.2">
      <c r="A226" s="64"/>
      <c r="H226" s="42"/>
      <c r="I226" s="1" t="s">
        <v>71</v>
      </c>
      <c r="P226" s="1" t="s">
        <v>1357</v>
      </c>
    </row>
    <row r="227" spans="1:16" x14ac:dyDescent="0.2">
      <c r="A227" s="64"/>
      <c r="H227" s="42"/>
      <c r="P227" s="1" t="s">
        <v>1358</v>
      </c>
    </row>
    <row r="228" spans="1:16" x14ac:dyDescent="0.2">
      <c r="A228" s="64"/>
      <c r="H228" s="42"/>
      <c r="P228" s="1" t="s">
        <v>1359</v>
      </c>
    </row>
    <row r="229" spans="1:16" x14ac:dyDescent="0.2">
      <c r="A229" s="64"/>
      <c r="H229" s="42"/>
      <c r="P229" s="1" t="s">
        <v>1360</v>
      </c>
    </row>
    <row r="230" spans="1:16" x14ac:dyDescent="0.2">
      <c r="A230" s="64"/>
      <c r="H230" s="42"/>
      <c r="P230" s="1" t="s">
        <v>1361</v>
      </c>
    </row>
    <row r="231" spans="1:16" x14ac:dyDescent="0.2">
      <c r="A231" s="64"/>
      <c r="H231" s="42"/>
      <c r="P231" s="1" t="s">
        <v>1362</v>
      </c>
    </row>
    <row r="232" spans="1:16" x14ac:dyDescent="0.2">
      <c r="A232" s="64"/>
      <c r="H232" s="42"/>
      <c r="P232" s="1" t="s">
        <v>1363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1364</v>
      </c>
    </row>
    <row r="234" spans="1:16" x14ac:dyDescent="0.2">
      <c r="P234" s="1" t="s">
        <v>1365</v>
      </c>
    </row>
    <row r="235" spans="1:16" x14ac:dyDescent="0.2">
      <c r="P235" s="1" t="s">
        <v>1366</v>
      </c>
    </row>
    <row r="236" spans="1:16" x14ac:dyDescent="0.2">
      <c r="P236" s="1" t="s">
        <v>1367</v>
      </c>
    </row>
    <row r="237" spans="1:16" x14ac:dyDescent="0.2">
      <c r="P237" s="1" t="s">
        <v>1368</v>
      </c>
    </row>
    <row r="242" spans="1:8" x14ac:dyDescent="0.2">
      <c r="A242" s="165" t="s">
        <v>1370</v>
      </c>
    </row>
    <row r="243" spans="1:8" ht="17" thickBot="1" x14ac:dyDescent="0.25"/>
    <row r="244" spans="1:8" ht="17" thickBot="1" x14ac:dyDescent="0.25">
      <c r="A244" s="50" t="s">
        <v>1371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1032</v>
      </c>
    </row>
    <row r="246" spans="1:8" x14ac:dyDescent="0.2">
      <c r="A246" s="62" t="s">
        <v>1372</v>
      </c>
    </row>
    <row r="247" spans="1:8" x14ac:dyDescent="0.2">
      <c r="A247" s="62" t="s">
        <v>1373</v>
      </c>
    </row>
    <row r="248" spans="1:8" x14ac:dyDescent="0.2">
      <c r="A248" s="62" t="s">
        <v>1374</v>
      </c>
    </row>
    <row r="250" spans="1:8" x14ac:dyDescent="0.2">
      <c r="B250" s="21" t="s">
        <v>389</v>
      </c>
      <c r="C250" s="48" t="s">
        <v>1266</v>
      </c>
    </row>
    <row r="251" spans="1:8" x14ac:dyDescent="0.2">
      <c r="B251" s="21" t="s">
        <v>1260</v>
      </c>
      <c r="C251" s="21">
        <v>40</v>
      </c>
    </row>
    <row r="252" spans="1:8" x14ac:dyDescent="0.2">
      <c r="B252" s="21" t="s">
        <v>1259</v>
      </c>
      <c r="C252" s="21">
        <v>30</v>
      </c>
    </row>
    <row r="253" spans="1:8" x14ac:dyDescent="0.2">
      <c r="B253" s="21" t="s">
        <v>406</v>
      </c>
      <c r="C253" s="21">
        <v>20</v>
      </c>
    </row>
    <row r="254" spans="1:8" x14ac:dyDescent="0.2">
      <c r="B254" s="21" t="s">
        <v>407</v>
      </c>
      <c r="C254" s="21">
        <v>10</v>
      </c>
    </row>
    <row r="255" spans="1:8" x14ac:dyDescent="0.2">
      <c r="B255" s="21" t="s">
        <v>390</v>
      </c>
      <c r="C255" s="21">
        <v>5</v>
      </c>
    </row>
    <row r="256" spans="1:8" x14ac:dyDescent="0.2">
      <c r="B256" s="21" t="s">
        <v>1377</v>
      </c>
      <c r="C256" s="21">
        <v>2</v>
      </c>
    </row>
    <row r="257" spans="1:13" x14ac:dyDescent="0.2">
      <c r="B257" s="21" t="s">
        <v>1378</v>
      </c>
      <c r="C257" s="21">
        <v>8</v>
      </c>
    </row>
    <row r="258" spans="1:13" x14ac:dyDescent="0.2">
      <c r="B258" s="21" t="s">
        <v>1379</v>
      </c>
      <c r="C258" s="21">
        <v>12</v>
      </c>
    </row>
    <row r="259" spans="1:13" x14ac:dyDescent="0.2">
      <c r="B259" s="21" t="s">
        <v>1375</v>
      </c>
      <c r="C259" s="21">
        <v>17</v>
      </c>
    </row>
    <row r="260" spans="1:13" x14ac:dyDescent="0.2">
      <c r="B260" s="21" t="s">
        <v>1381</v>
      </c>
      <c r="C260" s="21">
        <v>23</v>
      </c>
    </row>
    <row r="262" spans="1:13" x14ac:dyDescent="0.2">
      <c r="A262" s="62" t="s">
        <v>403</v>
      </c>
    </row>
    <row r="263" spans="1:13" x14ac:dyDescent="0.2">
      <c r="A263" s="62" t="s">
        <v>1376</v>
      </c>
    </row>
    <row r="264" spans="1:13" x14ac:dyDescent="0.2">
      <c r="A264" s="62" t="s">
        <v>1343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280</v>
      </c>
    </row>
    <row r="268" spans="1:13" x14ac:dyDescent="0.2">
      <c r="A268" s="161" t="s">
        <v>71</v>
      </c>
      <c r="B268" s="21" t="s">
        <v>1380</v>
      </c>
      <c r="C268" s="21" t="s">
        <v>1382</v>
      </c>
      <c r="D268" s="21" t="s">
        <v>1195</v>
      </c>
      <c r="H268" s="25"/>
      <c r="I268" s="25"/>
      <c r="J268" s="25"/>
      <c r="K268" s="25"/>
      <c r="L268" s="25"/>
      <c r="M268" s="25"/>
    </row>
    <row r="269" spans="1:13" x14ac:dyDescent="0.2">
      <c r="A269" s="161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61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1288</v>
      </c>
    </row>
    <row r="271" spans="1:13" x14ac:dyDescent="0.2">
      <c r="A271" s="161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362</v>
      </c>
    </row>
    <row r="272" spans="1:13" x14ac:dyDescent="0.2">
      <c r="A272" s="161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1383</v>
      </c>
    </row>
    <row r="273" spans="1:8" x14ac:dyDescent="0.2">
      <c r="A273" s="161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61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61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61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61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61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61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1257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1258</v>
      </c>
    </row>
    <row r="476" spans="1:8" x14ac:dyDescent="0.2">
      <c r="A476" s="62" t="s">
        <v>394</v>
      </c>
    </row>
    <row r="477" spans="1:8" x14ac:dyDescent="0.2">
      <c r="A477" s="62" t="s">
        <v>413</v>
      </c>
    </row>
    <row r="479" spans="1:8" x14ac:dyDescent="0.2">
      <c r="B479" s="21" t="s">
        <v>389</v>
      </c>
      <c r="C479" s="21" t="s">
        <v>395</v>
      </c>
    </row>
    <row r="480" spans="1:8" x14ac:dyDescent="0.2">
      <c r="B480" s="60" t="s">
        <v>407</v>
      </c>
      <c r="C480" s="60">
        <v>10</v>
      </c>
    </row>
    <row r="481" spans="1:8" x14ac:dyDescent="0.2">
      <c r="B481" s="21" t="s">
        <v>1259</v>
      </c>
      <c r="C481" s="21">
        <v>21</v>
      </c>
    </row>
    <row r="482" spans="1:8" x14ac:dyDescent="0.2">
      <c r="B482" s="21" t="s">
        <v>1260</v>
      </c>
      <c r="C482" s="21">
        <v>31</v>
      </c>
    </row>
    <row r="483" spans="1:8" x14ac:dyDescent="0.2">
      <c r="B483" s="60" t="s">
        <v>408</v>
      </c>
      <c r="C483" s="60">
        <v>15</v>
      </c>
    </row>
    <row r="485" spans="1:8" x14ac:dyDescent="0.2">
      <c r="A485" s="62" t="s">
        <v>403</v>
      </c>
    </row>
    <row r="486" spans="1:8" x14ac:dyDescent="0.2">
      <c r="A486" s="62" t="s">
        <v>404</v>
      </c>
    </row>
    <row r="487" spans="1:8" x14ac:dyDescent="0.2">
      <c r="A487" s="62" t="s">
        <v>405</v>
      </c>
    </row>
    <row r="489" spans="1:8" ht="21" x14ac:dyDescent="0.25">
      <c r="A489" s="153" t="s">
        <v>1154</v>
      </c>
    </row>
    <row r="490" spans="1:8" ht="17" thickBot="1" x14ac:dyDescent="0.25"/>
    <row r="491" spans="1:8" ht="17" thickBot="1" x14ac:dyDescent="0.25">
      <c r="A491" s="156" t="s">
        <v>1155</v>
      </c>
      <c r="B491" s="157"/>
      <c r="C491" s="157"/>
      <c r="D491" s="157"/>
      <c r="E491" s="157"/>
      <c r="F491" s="157"/>
      <c r="G491" s="157"/>
      <c r="H491" s="158"/>
    </row>
    <row r="493" spans="1:8" x14ac:dyDescent="0.2">
      <c r="A493" s="62" t="s">
        <v>1156</v>
      </c>
    </row>
    <row r="494" spans="1:8" x14ac:dyDescent="0.2">
      <c r="A494" s="62" t="s">
        <v>1164</v>
      </c>
    </row>
    <row r="495" spans="1:8" x14ac:dyDescent="0.2">
      <c r="A495" s="62" t="s">
        <v>1165</v>
      </c>
    </row>
    <row r="496" spans="1:8" x14ac:dyDescent="0.2">
      <c r="A496" s="62" t="s">
        <v>1166</v>
      </c>
    </row>
    <row r="497" spans="1:5" x14ac:dyDescent="0.2">
      <c r="A497" s="62" t="s">
        <v>1167</v>
      </c>
    </row>
    <row r="499" spans="1:5" x14ac:dyDescent="0.2">
      <c r="A499" s="62" t="s">
        <v>1163</v>
      </c>
    </row>
    <row r="501" spans="1:5" x14ac:dyDescent="0.2">
      <c r="A501" s="62" t="s">
        <v>78</v>
      </c>
    </row>
    <row r="502" spans="1:5" x14ac:dyDescent="0.2">
      <c r="B502" s="21" t="s">
        <v>1158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62" t="s">
        <v>71</v>
      </c>
      <c r="B503" s="75" t="s">
        <v>1159</v>
      </c>
      <c r="C503" s="75" t="s">
        <v>1160</v>
      </c>
      <c r="D503" s="75" t="s">
        <v>1161</v>
      </c>
      <c r="E503" s="75" t="s">
        <v>1162</v>
      </c>
    </row>
    <row r="504" spans="1:5" x14ac:dyDescent="0.2">
      <c r="A504" s="161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61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61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61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61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61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61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60">
        <f>1000-(3.7-3.6)*10000</f>
        <v>-9.0949470177292824E-13</v>
      </c>
    </row>
    <row r="511" spans="1:5" x14ac:dyDescent="0.2">
      <c r="A511" s="161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61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61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61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1168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1169</v>
      </c>
    </row>
    <row r="518" spans="1:8" x14ac:dyDescent="0.2">
      <c r="A518" s="1" t="s">
        <v>1170</v>
      </c>
    </row>
    <row r="519" spans="1:8" x14ac:dyDescent="0.2">
      <c r="A519" s="1" t="s">
        <v>1171</v>
      </c>
    </row>
    <row r="520" spans="1:8" x14ac:dyDescent="0.2">
      <c r="A520" s="1" t="s">
        <v>1172</v>
      </c>
    </row>
    <row r="521" spans="1:8" x14ac:dyDescent="0.2">
      <c r="A521" s="1" t="s">
        <v>1173</v>
      </c>
    </row>
    <row r="523" spans="1:8" x14ac:dyDescent="0.2">
      <c r="A523" s="62" t="s">
        <v>78</v>
      </c>
    </row>
    <row r="524" spans="1:8" x14ac:dyDescent="0.2">
      <c r="A524" s="62" t="s">
        <v>1174</v>
      </c>
    </row>
    <row r="525" spans="1:8" x14ac:dyDescent="0.2">
      <c r="A525" s="62" t="s">
        <v>1175</v>
      </c>
    </row>
    <row r="526" spans="1:8" x14ac:dyDescent="0.2">
      <c r="A526" s="62" t="s">
        <v>1176</v>
      </c>
    </row>
    <row r="527" spans="1:8" x14ac:dyDescent="0.2">
      <c r="A527" s="62" t="s">
        <v>1177</v>
      </c>
    </row>
    <row r="528" spans="1:8" x14ac:dyDescent="0.2">
      <c r="A528" s="62" t="s">
        <v>1178</v>
      </c>
    </row>
    <row r="529" spans="1:8" x14ac:dyDescent="0.2">
      <c r="A529" s="62" t="s">
        <v>1179</v>
      </c>
    </row>
    <row r="530" spans="1:8" x14ac:dyDescent="0.2">
      <c r="A530" s="62" t="s">
        <v>1180</v>
      </c>
    </row>
    <row r="531" spans="1:8" x14ac:dyDescent="0.2">
      <c r="A531" s="62" t="s">
        <v>1181</v>
      </c>
    </row>
    <row r="532" spans="1:8" ht="17" thickBot="1" x14ac:dyDescent="0.25"/>
    <row r="533" spans="1:8" ht="17" thickBot="1" x14ac:dyDescent="0.25">
      <c r="A533" s="15" t="s">
        <v>1182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1183</v>
      </c>
    </row>
    <row r="536" spans="1:8" x14ac:dyDescent="0.2">
      <c r="A536" s="1" t="s">
        <v>1184</v>
      </c>
    </row>
    <row r="537" spans="1:8" x14ac:dyDescent="0.2">
      <c r="A537" s="1" t="s">
        <v>1149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283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5"/>
      <c r="G542" s="155"/>
      <c r="H542" s="155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5"/>
      <c r="G543" s="155"/>
      <c r="H543" s="155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1185</v>
      </c>
    </row>
    <row r="555" spans="1:8" x14ac:dyDescent="0.2">
      <c r="E555" s="1" t="s">
        <v>1186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1189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1187</v>
      </c>
    </row>
    <row r="577" spans="1:3" x14ac:dyDescent="0.2">
      <c r="A577" s="62" t="s">
        <v>394</v>
      </c>
    </row>
    <row r="578" spans="1:3" x14ac:dyDescent="0.2">
      <c r="A578" s="62" t="s">
        <v>413</v>
      </c>
    </row>
    <row r="580" spans="1:3" x14ac:dyDescent="0.2">
      <c r="B580" s="21" t="s">
        <v>389</v>
      </c>
      <c r="C580" s="21" t="s">
        <v>395</v>
      </c>
    </row>
    <row r="581" spans="1:3" x14ac:dyDescent="0.2">
      <c r="B581" s="21" t="s">
        <v>1077</v>
      </c>
      <c r="C581" s="21">
        <v>20</v>
      </c>
    </row>
    <row r="582" spans="1:3" x14ac:dyDescent="0.2">
      <c r="B582" s="21" t="s">
        <v>526</v>
      </c>
      <c r="C582" s="21">
        <v>10</v>
      </c>
    </row>
    <row r="583" spans="1:3" x14ac:dyDescent="0.2">
      <c r="B583" s="21" t="s">
        <v>1076</v>
      </c>
      <c r="C583" s="21">
        <v>15</v>
      </c>
    </row>
    <row r="584" spans="1:3" x14ac:dyDescent="0.2">
      <c r="B584" s="21" t="s">
        <v>1188</v>
      </c>
      <c r="C584" s="21">
        <v>24</v>
      </c>
    </row>
    <row r="586" spans="1:3" x14ac:dyDescent="0.2">
      <c r="A586" s="62" t="s">
        <v>1192</v>
      </c>
    </row>
    <row r="587" spans="1:3" x14ac:dyDescent="0.2">
      <c r="A587" s="62" t="s">
        <v>1193</v>
      </c>
    </row>
    <row r="589" spans="1:3" x14ac:dyDescent="0.2">
      <c r="A589" s="62" t="s">
        <v>78</v>
      </c>
    </row>
    <row r="590" spans="1:3" x14ac:dyDescent="0.2">
      <c r="A590" s="62" t="s">
        <v>1190</v>
      </c>
    </row>
    <row r="591" spans="1:3" x14ac:dyDescent="0.2">
      <c r="A591" s="62" t="s">
        <v>1191</v>
      </c>
    </row>
    <row r="593" spans="1:4" x14ac:dyDescent="0.2">
      <c r="A593" s="62" t="s">
        <v>1194</v>
      </c>
    </row>
    <row r="595" spans="1:4" x14ac:dyDescent="0.2">
      <c r="A595" s="162" t="s">
        <v>71</v>
      </c>
      <c r="B595" s="75" t="s">
        <v>1196</v>
      </c>
      <c r="C595" s="75" t="s">
        <v>1197</v>
      </c>
      <c r="D595" s="75" t="s">
        <v>1195</v>
      </c>
    </row>
    <row r="596" spans="1:4" x14ac:dyDescent="0.2">
      <c r="A596" s="161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61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61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61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61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61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61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61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61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61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61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61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61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61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61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61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1198</v>
      </c>
    </row>
    <row r="615" spans="1:5" x14ac:dyDescent="0.2">
      <c r="E615" s="163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20</vt:i4>
      </vt:variant>
      <vt:variant>
        <vt:lpstr>Named Ranges</vt:lpstr>
      </vt:variant>
      <vt:variant>
        <vt:i4>9</vt:i4>
      </vt:variant>
    </vt:vector>
  </HeadingPairs>
  <TitlesOfParts>
    <vt:vector size="29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Lecture 10 New</vt:lpstr>
      <vt:lpstr>Lecture 11 New</vt:lpstr>
      <vt:lpstr>בהמשך</vt:lpstr>
      <vt:lpstr>Lecture 5</vt:lpstr>
      <vt:lpstr>Lecture 8</vt:lpstr>
      <vt:lpstr>Lecture 9</vt:lpstr>
      <vt:lpstr>Lectures 10</vt:lpstr>
      <vt:lpstr>Lectures 11, 12</vt:lpstr>
      <vt:lpstr>Lecture 13</vt:lpstr>
      <vt:lpstr>'Lecture 1'!Print_Area</vt:lpstr>
      <vt:lpstr>'Lecture 13'!Print_Area</vt:lpstr>
      <vt:lpstr>'Lecture 2'!Print_Area</vt:lpstr>
      <vt:lpstr>'Lecture 4'!Print_Area</vt:lpstr>
      <vt:lpstr>'Lecture 5'!Print_Area</vt:lpstr>
      <vt:lpstr>'Lecture 7 New'!Print_Area</vt:lpstr>
      <vt:lpstr>'Lecture 8 New'!Print_Area</vt:lpstr>
      <vt:lpstr>'Lectures 10'!Print_Area</vt:lpstr>
      <vt:lpstr>'Lectures 11, 12'!Print_Area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2025-01-18T13:25:50Z</dcterms:modified>
</cp:coreProperties>
</file>